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defaultThemeVersion="202300"/>
  <mc:AlternateContent xmlns:mc="http://schemas.openxmlformats.org/markup-compatibility/2006">
    <mc:Choice Requires="x15">
      <x15ac:absPath xmlns:x15ac="http://schemas.microsoft.com/office/spreadsheetml/2010/11/ac" url="/Users/rohanrajesh/Documents/"/>
    </mc:Choice>
  </mc:AlternateContent>
  <xr:revisionPtr revIDLastSave="0" documentId="13_ncr:1_{1D314DA6-957F-F14B-8529-A87637303A4B}" xr6:coauthVersionLast="47" xr6:coauthVersionMax="47" xr10:uidLastSave="{00000000-0000-0000-0000-000000000000}"/>
  <bookViews>
    <workbookView xWindow="0" yWindow="660" windowWidth="30240" windowHeight="18980" xr2:uid="{5B3EDA5B-398F-A64B-BAD8-05C91CF6EC88}"/>
  </bookViews>
  <sheets>
    <sheet name="Valuation Model" sheetId="1" r:id="rId1"/>
    <sheet name="Comps" sheetId="2" r:id="rId2"/>
    <sheet name="EV Football Field" sheetId="5" r:id="rId3"/>
    <sheet name="Deal Process" sheetId="7"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FDS_HYPERLINK_TOGGLE_STATE__" hidden="1">"ON"</definedName>
    <definedName name="asd">#REF!</definedName>
    <definedName name="BalanceSheetDates">#REF!</definedName>
    <definedName name="CashflowgraphJan11" hidden="1">{"Revenue",#N/A,FALSE,"Revenue"}</definedName>
    <definedName name="CIQWBGuid" hidden="1">"2cd8126d-26c3-430c-b7fa-a069e3a1fc62"</definedName>
    <definedName name="Conventions">#REF!</definedName>
    <definedName name="CreatedFor">'[2]Peer Group'!$D$5</definedName>
    <definedName name="CreatedForTitle">'[2]Peer Group'!$C$5</definedName>
    <definedName name="Forecast">#REF!</definedName>
    <definedName name="FT_GROUP">'[3]Developing Store'!$D$20</definedName>
    <definedName name="FT_SIMPLE">'[3]Developing Store'!$D$22</definedName>
    <definedName name="FT_SIMPLE_BORDERED">'[3]Developing Store'!$D$24</definedName>
    <definedName name="FT_SUB_GROUP">'[3]Developing Store'!$D$26</definedName>
    <definedName name="IncomeStatementDates">#REF!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LNK0297fe8378024b789eab677aee4558c9" hidden="1">#REF!</definedName>
    <definedName name="MLNK0a0467986eee44dd951ff7be770510a5" hidden="1">#REF!</definedName>
    <definedName name="MLNK0c864b66026d4cffa1898fb0c1be75f2" hidden="1">#REF!</definedName>
    <definedName name="MLNK0d3af9530e6c4b1bab4a5136f5af0684" hidden="1">#REF!</definedName>
    <definedName name="MLNK1487ac41d71d40f181e5ce8dea351179" hidden="1">#REF!</definedName>
    <definedName name="MLNK14f9e8c5a44d4dc1a091a1fe08cf22eb" hidden="1">#REF!</definedName>
    <definedName name="MLNK156ed8cec8304bacb7eab68062d095f8" hidden="1">#REF!</definedName>
    <definedName name="MLNK15e5231dff854167a6362e8785f8907a" hidden="1">#REF!</definedName>
    <definedName name="MLNK1c7f26f536ec4f1198dc9bc8f7853e99" hidden="1">#REF!</definedName>
    <definedName name="MLNK1de72d6f0c7342d78e491692f198a6b0" hidden="1">#REF!</definedName>
    <definedName name="MLNK1e4278cb48e146cfb290fd5b459e1277" hidden="1">#REF!</definedName>
    <definedName name="MLNK1e54b46eabb8471d94cc1bef542c3578" hidden="1">#REF!</definedName>
    <definedName name="MLNK2512682577254c1b814b21754eb94ea4" hidden="1">#REF!</definedName>
    <definedName name="MLNK2650f7c967fa4e009f9ad6250df25a06" hidden="1">#REF!</definedName>
    <definedName name="MLNK2c494415ee2c4764b56f1c70d140e4dd" hidden="1">#REF!</definedName>
    <definedName name="MLNK2e25948e5e1d4205a17bb79ea5ebfacd" hidden="1">#REF!</definedName>
    <definedName name="MLNK30e1c06f0a844031a8d935c9e2900e85" hidden="1">#REF!</definedName>
    <definedName name="MLNK3b836b9ab0c34004a93843ba47ebee44" hidden="1">#REF!</definedName>
    <definedName name="MLNK3d9e4513d7f843c0b64bb7cf27bb8d6a" hidden="1">#REF!</definedName>
    <definedName name="MLNK3f25730a5d304218b30642f556f06247" hidden="1">#REF!</definedName>
    <definedName name="MLNK4a0650d6da6d4b22a202305799f10910" hidden="1">#REF!</definedName>
    <definedName name="MLNK4e58de6c2a614e4db522370b24f8baa7" hidden="1">#REF!</definedName>
    <definedName name="MLNK4ff5772e3e8d4c8ca3142af3932c19a2" hidden="1">#REF!</definedName>
    <definedName name="MLNK54330a2df28442a285409b036844404f" hidden="1">#REF!</definedName>
    <definedName name="MLNK5b50385251bb47c29597279bb0a4885a" hidden="1">#REF!</definedName>
    <definedName name="MLNK63a5f169c5ac4b2cae626080c35441ca" hidden="1">#REF!</definedName>
    <definedName name="MLNK680dd6b46fe1441ebdd42e27ca680a48" hidden="1">#REF!</definedName>
    <definedName name="MLNK6fea70f4a89646d68216519892d1e784" hidden="1">#REF!</definedName>
    <definedName name="MLNK76c31189804c463a96176b37d1ab3381" hidden="1">#REF!</definedName>
    <definedName name="MLNK79bea05cbdd34c538b81a1577e11771d" hidden="1">#REF!</definedName>
    <definedName name="MLNK7bd2b02a311a4ab1980706422a1199b7" hidden="1">#REF!</definedName>
    <definedName name="MLNK7fe01403fad54f44a223510e8cb6f875" hidden="1">#REF!</definedName>
    <definedName name="MLNK810da4a3eb624909b046f7af10563b9f" hidden="1">#REF!</definedName>
    <definedName name="MLNK82f431649dd541bcbaa1e19fb18ba544" hidden="1">#REF!</definedName>
    <definedName name="MLNK84281e7f9bc64b81b18ec751125bcc57" hidden="1">#REF!</definedName>
    <definedName name="MLNK881609bf6ffe47278dacfe34423281c5" hidden="1">#REF!</definedName>
    <definedName name="MLNK8c39b6bdac9a4f708e5e6e8b3dccf721" hidden="1">#REF!</definedName>
    <definedName name="MLNK8dc38f2dcb944caabb2dcfcc9772e020" hidden="1">#REF!</definedName>
    <definedName name="MLNK9568fc93b8c04d3cb424d6d88676929f" hidden="1">#REF!</definedName>
    <definedName name="MLNK961aedbb471240818fd7419b652e2c3c" hidden="1">#REF!</definedName>
    <definedName name="MLNKa380bd86940445f1b064871299c4d5b8" hidden="1">#REF!</definedName>
    <definedName name="MLNKa3d9a992795e483ab7df0f37bbed2064" hidden="1">#REF!</definedName>
    <definedName name="MLNKa5d11869def1444b9e716f36e9feebe2" hidden="1">#REF!</definedName>
    <definedName name="MLNKa93d99d58493492eb470be58be2daa07" hidden="1">#REF!</definedName>
    <definedName name="MLNKaab9c9e0f896471582f59bbbf2304176" hidden="1">#REF!</definedName>
    <definedName name="MLNKb6e0bc94b95b48559a192d8744526c07" hidden="1">#REF!</definedName>
    <definedName name="MLNKbc16355da415450ca328ec1f76abc14a" hidden="1">#REF!</definedName>
    <definedName name="MLNKc15288da485d4d64a4e9110d3de2a5d2" hidden="1">'[4]Index Highlights Template'!#REF!</definedName>
    <definedName name="MLNKc6f0e0e2fda94e218c56a95b4fd17cac" hidden="1">#REF!</definedName>
    <definedName name="MLNKc77750cb95e9450cb7c11d7e1d130b46" hidden="1">#REF!</definedName>
    <definedName name="MLNKc8b89dda812e4ac7a8d5f977b9d33f55" hidden="1">#REF!</definedName>
    <definedName name="MLNKcdc3c6be537e4974aaa49cd31ef66cc6" hidden="1">#REF!</definedName>
    <definedName name="MLNKce9385e8430a4aae81c0cf83706605ee" hidden="1">#REF!</definedName>
    <definedName name="MLNKcfd838a620274f968b8c05578a1bcd07" hidden="1">#REF!</definedName>
    <definedName name="MLNKd2f26101b60748d3a848eab912eb3dbb" hidden="1">#REF!</definedName>
    <definedName name="MLNKd4a3e1d421664985a8e85ef85fb13ec8" hidden="1">#REF!</definedName>
    <definedName name="MLNKd4f6990f902b404a8ba24c225645ccc8" hidden="1">#REF!</definedName>
    <definedName name="MLNKd629f01d81de43ab8f65254d60c01729" hidden="1">#REF!</definedName>
    <definedName name="MLNKd89685dc14bb461c8666d3f1c0e05391" hidden="1">#REF!</definedName>
    <definedName name="MLNKd9c4a77778b9442e914bbdd857893f1d" hidden="1">#REF!</definedName>
    <definedName name="MLNKe238bfb7379f4ac98b82757158ba3225" hidden="1">#REF!</definedName>
    <definedName name="MLNKe7b25a4d5d2e48158931d78069bb0de6" hidden="1">#REF!</definedName>
    <definedName name="MLNKeda9f8ddc5a3470396a523df361e33f3" hidden="1">#REF!</definedName>
    <definedName name="MLNKf03a498649b841328bc929d5c339df62" hidden="1">#REF!</definedName>
    <definedName name="MLNKfb779905aa5047ec80f99529d2d81b51" hidden="1">#REF!</definedName>
    <definedName name="MLNKfc09d47a2b8344338c709107427fed82" hidden="1">#REF!</definedName>
    <definedName name="Name10c">'[5]Library Procedures'!$L$113</definedName>
    <definedName name="Name1a">'[6]Library Procedures'!$K$9</definedName>
    <definedName name="Name1b">'[6]Library Procedures'!$K$10</definedName>
    <definedName name="Name1c">'[6]Library Procedures'!$K$14</definedName>
    <definedName name="Name1d">'[6]Library Procedures'!$K$19</definedName>
    <definedName name="Name1e">'[6]Library Procedures'!$K$20</definedName>
    <definedName name="Name1f">'[6]Library Procedures'!$K$21</definedName>
    <definedName name="Name1g">'[6]Library Procedures'!$K$22</definedName>
    <definedName name="Name2a">'[6]Library Procedures'!$K$30</definedName>
    <definedName name="Name2b">'[6]Library Procedures'!$K$31</definedName>
    <definedName name="Name3a">'[6]Library Procedures'!$K$45</definedName>
    <definedName name="Name3b">'[6]Library Procedures'!$K$46</definedName>
    <definedName name="Name3c">'[6]Library Procedures'!$K$50</definedName>
    <definedName name="Name3d">'[6]Library Procedures'!$K$55</definedName>
    <definedName name="Name3e">'[6]Library Procedures'!$K$56</definedName>
    <definedName name="Name3f">'[6]Library Procedures'!$K$57</definedName>
    <definedName name="Name3g">'[6]Library Procedures'!$K$58</definedName>
    <definedName name="Name4a">'[6]Library Procedures'!$K$70</definedName>
    <definedName name="Name4b">'[6]Library Procedures'!$K$74</definedName>
    <definedName name="Name4c">'[6]Library Procedures'!$K$78</definedName>
    <definedName name="Name4d">'[6]Library Procedures'!$K$82</definedName>
    <definedName name="Name4e">'[6]Library Procedures'!$K$86</definedName>
    <definedName name="Name4f">'[6]Library Procedures'!$K$90</definedName>
    <definedName name="Name4g">'[6]Library Procedures'!$K$94</definedName>
    <definedName name="NSProjectionMethodIndex">'[7]Non-Statistical Sampling Master'!$C$63</definedName>
    <definedName name="NSRequiredLevelOfEvidenceItems">'[7]Non-Statistical Sampling Master'!$C$50:$C$53</definedName>
    <definedName name="NSTargetedTestingItems">'[7]Two Step Revenue Testing Master'!$E$47</definedName>
    <definedName name="Period_1">#REF!</definedName>
    <definedName name="Period_10">#REF!</definedName>
    <definedName name="Period_10Description">#REF!</definedName>
    <definedName name="Period_1Description">#REF!</definedName>
    <definedName name="Period_2">#REF!</definedName>
    <definedName name="Period_2Description">#REF!</definedName>
    <definedName name="Period_3">#REF!</definedName>
    <definedName name="Period_3Description">#REF!</definedName>
    <definedName name="Period_4">#REF!</definedName>
    <definedName name="Period_4Description">#REF!</definedName>
    <definedName name="Period_5">#REF!</definedName>
    <definedName name="Period_5Description">#REF!</definedName>
    <definedName name="Period_6">#REF!</definedName>
    <definedName name="Period_6Description">#REF!</definedName>
    <definedName name="Period_7">#REF!</definedName>
    <definedName name="Period_7Description">#REF!</definedName>
    <definedName name="Period_8">#REF!</definedName>
    <definedName name="Period_8Description">#REF!</definedName>
    <definedName name="Period_9">#REF!</definedName>
    <definedName name="Period_9Description">#REF!</definedName>
    <definedName name="PeriodEnd_1">#REF!</definedName>
    <definedName name="PeriodEnd_10">#REF!</definedName>
    <definedName name="PeriodEnd_10Description">#REF!</definedName>
    <definedName name="PeriodEnd_1Description">#REF!</definedName>
    <definedName name="PeriodEnd_2">#REF!</definedName>
    <definedName name="PeriodEnd_2Description">#REF!</definedName>
    <definedName name="PeriodEnd_3">#REF!</definedName>
    <definedName name="PeriodEnd_3Description">#REF!</definedName>
    <definedName name="PeriodEnd_4">#REF!</definedName>
    <definedName name="PeriodEnd_4Description">#REF!</definedName>
    <definedName name="PeriodEnd_5">#REF!</definedName>
    <definedName name="PeriodEnd_5Description">#REF!</definedName>
    <definedName name="PeriodEnd_6">#REF!</definedName>
    <definedName name="PeriodEnd_6Description">#REF!</definedName>
    <definedName name="PeriodEnd_7">#REF!</definedName>
    <definedName name="PeriodEnd_7Description">#REF!</definedName>
    <definedName name="PeriodEnd_8">#REF!</definedName>
    <definedName name="PeriodEnd_8Description">#REF!</definedName>
    <definedName name="PeriodEnd_9">#REF!</definedName>
    <definedName name="PeriodEnd_9Description">#REF!</definedName>
    <definedName name="PIE">'[7]Two Step Revenue Testing Master'!$C$87</definedName>
    <definedName name="Project_Name">#REF!</definedName>
    <definedName name="PSIF" hidden="1">#REF!</definedName>
    <definedName name="ReportCreated">TRUE</definedName>
    <definedName name="sss" hidden="1">{"Revenue",#N/A,FALSE,"Revenue"}</definedName>
    <definedName name="Step_1">#REF!</definedName>
    <definedName name="Step_2">#REF!</definedName>
    <definedName name="Step_3">#REF!</definedName>
    <definedName name="Step_4">#REF!</definedName>
    <definedName name="Step_5">#REF!</definedName>
    <definedName name="Step_6">#REF!</definedName>
    <definedName name="Step1">#REF!</definedName>
    <definedName name="Step2">#REF!</definedName>
    <definedName name="Step3">#REF!</definedName>
    <definedName name="Step4">#REF!</definedName>
    <definedName name="Step5">#REF!</definedName>
    <definedName name="Step6">#REF!</definedName>
    <definedName name="TTDesiredLevelOfEvidenceItems">'[7]Global Data'!$B$92:$B$95</definedName>
    <definedName name="TwoStepMisstatementIdentified">'[7]Two Step Revenue Testing Master'!$C$85</definedName>
    <definedName name="TwoStepTolerableEstMisstmtCalc">'[7]Two Step Revenue Testing Master'!$T$45</definedName>
    <definedName name="Units">#REF!</definedName>
    <definedName name="VersionNumber" hidden="1">"4.8.6801"</definedName>
    <definedName name="wrn.Short." hidden="1">{"Revenue",#N/A,FALSE,"Revenue"}</definedName>
    <definedName name="wrn.Summary." hidden="1">{"Balance",#N/A,FALSE,"Balance Sheet";"PandL",#N/A,FALSE,"P&amp;L";"Costs",#N/A,FALSE,"Costs";"Cashflow",#N/A,FALSE,"Cashflow";"CashFlow_Monthly",#N/A,FALSE,"Cash flow curve - monthly";"Funding",#N/A,FALSE,"Funding Schedule";"Revenue",#N/A,FALSE,"Revenue"}</definedName>
    <definedName name="xRng_071dc31c310444a6909ac476875a451b" xml:space="preserve">                                                                                                                                                                                                                                           '[8]Page 24'!$B$1:$F$31</definedName>
    <definedName name="xRng_408697e56f92499fb24e54d1d0cfdc6f" xml:space="preserve">                                                                                                                                                                                                                                           '[8]Pages 26, 27 &amp; 45'!$B$1:$AX$47</definedName>
    <definedName name="xRng_71d12550c1b74238afb8de8038240f5d">#REF!</definedName>
    <definedName name="xRng_73557bafbac9470f881ad78569059e8d" xml:space="preserve">                                                                                                                                                                                                                                           '[9]AAG charts'!$B$43:$G$46</definedName>
    <definedName name="xRng_7a8e9ef94a5147b38bb36a550f2cc273" xml:space="preserve">                                                                                                                                                                                                                                           '[8]Pages 9, 17 &amp; 18'!$B$1:$H$29</definedName>
    <definedName name="xRng_bb40fd31a802430ebdf07a3bf9e69acd" xml:space="preserve">                                                                                                                                                                                                                                           '[9]AAG charts'!$G$26:$L$30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1" i="1" l="1"/>
  <c r="C90" i="1"/>
  <c r="C96" i="1" s="1"/>
  <c r="C97" i="1" s="1"/>
  <c r="C89" i="1"/>
  <c r="F12" i="5"/>
  <c r="F14" i="5" s="1"/>
  <c r="F13" i="5"/>
  <c r="F9" i="5" s="1"/>
  <c r="F7" i="5" s="1"/>
  <c r="F15" i="5"/>
  <c r="L18" i="5"/>
  <c r="K18" i="5"/>
  <c r="R21" i="2"/>
  <c r="H15" i="5"/>
  <c r="G15" i="5"/>
  <c r="H5" i="5"/>
  <c r="G5" i="5"/>
  <c r="C81" i="1"/>
  <c r="C82" i="1" s="1"/>
  <c r="C83" i="1" s="1"/>
  <c r="F78" i="1"/>
  <c r="D77" i="1"/>
  <c r="G12" i="5"/>
  <c r="H12" i="5"/>
  <c r="H13" i="5"/>
  <c r="G13" i="5"/>
  <c r="H14" i="5"/>
  <c r="G14" i="5"/>
  <c r="Q21" i="2"/>
  <c r="R20" i="2"/>
  <c r="Q20" i="2"/>
  <c r="M21" i="2"/>
  <c r="M20" i="2"/>
  <c r="K21" i="2"/>
  <c r="J21" i="2"/>
  <c r="K20" i="2"/>
  <c r="J20" i="2"/>
  <c r="M9" i="5"/>
  <c r="M8" i="5"/>
  <c r="M7" i="5"/>
  <c r="M6" i="5"/>
  <c r="M5" i="5"/>
  <c r="P6" i="5" s="1"/>
  <c r="J5" i="5"/>
  <c r="C72" i="1"/>
  <c r="C70" i="1"/>
  <c r="G61" i="1"/>
  <c r="H61" i="1" s="1"/>
  <c r="I61" i="1" s="1"/>
  <c r="J61" i="1" s="1"/>
  <c r="F44" i="1"/>
  <c r="G44" i="1"/>
  <c r="F47" i="1"/>
  <c r="G47" i="1"/>
  <c r="F48" i="1"/>
  <c r="G48" i="1"/>
  <c r="J55" i="1"/>
  <c r="J48" i="1" s="1"/>
  <c r="G40" i="1"/>
  <c r="F40" i="1"/>
  <c r="B40" i="1"/>
  <c r="M26" i="2"/>
  <c r="M27" i="2"/>
  <c r="M28" i="2"/>
  <c r="M30" i="2"/>
  <c r="M31" i="2"/>
  <c r="M32" i="2"/>
  <c r="M33" i="2"/>
  <c r="M34" i="2"/>
  <c r="M25" i="2"/>
  <c r="M24" i="2"/>
  <c r="D27" i="2"/>
  <c r="N27" i="2" s="1"/>
  <c r="B31" i="2"/>
  <c r="D25" i="2"/>
  <c r="N25" i="2" s="1"/>
  <c r="E14" i="2"/>
  <c r="J13" i="5" s="1"/>
  <c r="J15" i="5" s="1"/>
  <c r="B14" i="2"/>
  <c r="M14" i="2" s="1"/>
  <c r="S6" i="2"/>
  <c r="S5" i="2"/>
  <c r="N6" i="2"/>
  <c r="Q19" i="2"/>
  <c r="Q18" i="2"/>
  <c r="Q17" i="2"/>
  <c r="Q14" i="2" s="1"/>
  <c r="Q16" i="2"/>
  <c r="I18" i="2"/>
  <c r="I19" i="2"/>
  <c r="I17" i="2"/>
  <c r="I16" i="2"/>
  <c r="F16" i="2"/>
  <c r="F17" i="2"/>
  <c r="F18" i="2"/>
  <c r="F19" i="2"/>
  <c r="I14" i="2"/>
  <c r="D8" i="2"/>
  <c r="K8" i="2" s="1"/>
  <c r="G19" i="2"/>
  <c r="E19" i="2"/>
  <c r="G18" i="2"/>
  <c r="E18" i="2"/>
  <c r="G17" i="2"/>
  <c r="E17" i="2"/>
  <c r="G16" i="2"/>
  <c r="E16" i="2"/>
  <c r="K12" i="2"/>
  <c r="J12" i="2"/>
  <c r="K11" i="2"/>
  <c r="J11" i="2"/>
  <c r="K10" i="2"/>
  <c r="J10" i="2"/>
  <c r="K9" i="2"/>
  <c r="J9" i="2"/>
  <c r="F114" i="1"/>
  <c r="G115" i="1"/>
  <c r="H115" i="1" s="1"/>
  <c r="I115" i="1" s="1"/>
  <c r="I48" i="1"/>
  <c r="H48" i="1"/>
  <c r="I53" i="1"/>
  <c r="J53" i="1" s="1"/>
  <c r="I54" i="1"/>
  <c r="J54" i="1" s="1"/>
  <c r="H44" i="1"/>
  <c r="I56" i="1"/>
  <c r="I44" i="1" s="1"/>
  <c r="B46" i="1"/>
  <c r="F42" i="1"/>
  <c r="F46" i="1" s="1"/>
  <c r="G42" i="1"/>
  <c r="G46" i="1" s="1"/>
  <c r="H25" i="1"/>
  <c r="I25" i="1"/>
  <c r="F126" i="1"/>
  <c r="G122" i="1" s="1"/>
  <c r="G126" i="1"/>
  <c r="H122" i="1" s="1"/>
  <c r="E126" i="1"/>
  <c r="F122" i="1" s="1"/>
  <c r="E122" i="1"/>
  <c r="F118" i="1"/>
  <c r="G118" i="1" s="1"/>
  <c r="H118" i="1" s="1"/>
  <c r="I118" i="1" s="1"/>
  <c r="G119" i="1"/>
  <c r="H119" i="1" s="1"/>
  <c r="I119" i="1" s="1"/>
  <c r="G117" i="1"/>
  <c r="H117" i="1" s="1"/>
  <c r="I117" i="1" s="1"/>
  <c r="G116" i="1"/>
  <c r="H116" i="1" s="1"/>
  <c r="I116" i="1" s="1"/>
  <c r="D28" i="1"/>
  <c r="E28" i="1"/>
  <c r="F28" i="1"/>
  <c r="G28" i="1"/>
  <c r="C28" i="1"/>
  <c r="E22" i="1"/>
  <c r="F22" i="1"/>
  <c r="G22" i="1"/>
  <c r="F14" i="2" s="1"/>
  <c r="D22" i="1"/>
  <c r="C12" i="1"/>
  <c r="C14" i="1" s="1"/>
  <c r="C16" i="1" s="1"/>
  <c r="C18" i="1" s="1"/>
  <c r="C27" i="1" s="1"/>
  <c r="D12" i="1"/>
  <c r="D14" i="1" s="1"/>
  <c r="D16" i="1" s="1"/>
  <c r="D18" i="1" s="1"/>
  <c r="D27" i="1" s="1"/>
  <c r="E12" i="1"/>
  <c r="E14" i="1" s="1"/>
  <c r="E16" i="1" s="1"/>
  <c r="E18" i="1" s="1"/>
  <c r="E27" i="1" s="1"/>
  <c r="F12" i="1"/>
  <c r="F14" i="1" s="1"/>
  <c r="F41" i="1" s="1"/>
  <c r="G12" i="1"/>
  <c r="G14" i="1" s="1"/>
  <c r="G25" i="1" s="1"/>
  <c r="D3" i="1"/>
  <c r="E3" i="1" s="1"/>
  <c r="F3" i="1" s="1"/>
  <c r="G3" i="1" s="1"/>
  <c r="H3" i="1" s="1"/>
  <c r="I3" i="1" s="1"/>
  <c r="J3" i="1" s="1"/>
  <c r="I14" i="5" l="1"/>
  <c r="I13" i="5"/>
  <c r="F8" i="5"/>
  <c r="F6" i="5" s="1"/>
  <c r="J18" i="5"/>
  <c r="G18" i="5" s="1"/>
  <c r="L15" i="5"/>
  <c r="H9" i="5" s="1"/>
  <c r="I15" i="5"/>
  <c r="I12" i="5"/>
  <c r="F38" i="1"/>
  <c r="D24" i="2"/>
  <c r="L7" i="5"/>
  <c r="L8" i="5"/>
  <c r="K13" i="5"/>
  <c r="L9" i="5"/>
  <c r="L5" i="5"/>
  <c r="O6" i="5" s="1"/>
  <c r="L6" i="5"/>
  <c r="C80" i="1"/>
  <c r="C79" i="1" s="1"/>
  <c r="G78" i="1"/>
  <c r="H78" i="1" s="1"/>
  <c r="E78" i="1"/>
  <c r="D78" i="1" s="1"/>
  <c r="L13" i="5"/>
  <c r="J56" i="1"/>
  <c r="J44" i="1" s="1"/>
  <c r="J6" i="5"/>
  <c r="J7" i="5" s="1"/>
  <c r="J8" i="5" s="1"/>
  <c r="J9" i="5" s="1"/>
  <c r="I5" i="5"/>
  <c r="N24" i="2"/>
  <c r="N26" i="2" s="1"/>
  <c r="N28" i="2" s="1"/>
  <c r="D31" i="2"/>
  <c r="N31" i="2" s="1"/>
  <c r="D33" i="2"/>
  <c r="N33" i="2" s="1"/>
  <c r="G14" i="2"/>
  <c r="J12" i="5" s="1"/>
  <c r="J17" i="5" s="1"/>
  <c r="G17" i="5" s="1"/>
  <c r="D18" i="2"/>
  <c r="D17" i="2"/>
  <c r="D19" i="2"/>
  <c r="D16" i="2"/>
  <c r="J8" i="2"/>
  <c r="J16" i="2" s="1"/>
  <c r="K17" i="2"/>
  <c r="K18" i="2"/>
  <c r="K19" i="2"/>
  <c r="K16" i="2"/>
  <c r="G114" i="1"/>
  <c r="H114" i="1" s="1"/>
  <c r="I114" i="1" s="1"/>
  <c r="F43" i="1"/>
  <c r="H125" i="1"/>
  <c r="G41" i="1"/>
  <c r="G43" i="1" s="1"/>
  <c r="D29" i="1"/>
  <c r="E29" i="1"/>
  <c r="H124" i="1"/>
  <c r="D25" i="1"/>
  <c r="C26" i="1"/>
  <c r="C25" i="1"/>
  <c r="C23" i="1"/>
  <c r="E25" i="1"/>
  <c r="G16" i="1"/>
  <c r="G29" i="1" s="1"/>
  <c r="G120" i="1"/>
  <c r="F25" i="1"/>
  <c r="F120" i="1" s="1"/>
  <c r="F16" i="1"/>
  <c r="F29" i="1" s="1"/>
  <c r="G23" i="1"/>
  <c r="H23" i="1" s="1"/>
  <c r="F23" i="1"/>
  <c r="E23" i="1"/>
  <c r="E26" i="1"/>
  <c r="D23" i="1"/>
  <c r="D26" i="1"/>
  <c r="H18" i="5" l="1"/>
  <c r="I18" i="5"/>
  <c r="H17" i="5"/>
  <c r="I17" i="5" s="1"/>
  <c r="G38" i="1"/>
  <c r="F112" i="1"/>
  <c r="J14" i="5"/>
  <c r="L12" i="5"/>
  <c r="K12" i="5"/>
  <c r="K14" i="2"/>
  <c r="D30" i="2" s="1"/>
  <c r="D32" i="2" s="1"/>
  <c r="D34" i="2" s="1"/>
  <c r="J19" i="2"/>
  <c r="J18" i="2"/>
  <c r="J17" i="2"/>
  <c r="S18" i="2"/>
  <c r="S19" i="2"/>
  <c r="S16" i="2"/>
  <c r="S17" i="2"/>
  <c r="S14" i="2" s="1"/>
  <c r="R18" i="2"/>
  <c r="R19" i="2"/>
  <c r="R16" i="2"/>
  <c r="R17" i="2"/>
  <c r="R14" i="2" s="1"/>
  <c r="N30" i="2" s="1"/>
  <c r="N32" i="2" s="1"/>
  <c r="N34" i="2" s="1"/>
  <c r="F45" i="1"/>
  <c r="F49" i="1" s="1"/>
  <c r="F60" i="1" s="1"/>
  <c r="F62" i="1" s="1"/>
  <c r="G45" i="1"/>
  <c r="G49" i="1" s="1"/>
  <c r="G60" i="1" s="1"/>
  <c r="G62" i="1" s="1"/>
  <c r="I23" i="1"/>
  <c r="I123" i="1"/>
  <c r="H123" i="1"/>
  <c r="H126" i="1" s="1"/>
  <c r="F18" i="1"/>
  <c r="F26" i="1"/>
  <c r="G18" i="1"/>
  <c r="G27" i="1" s="1"/>
  <c r="G26" i="1"/>
  <c r="F27" i="1" l="1"/>
  <c r="C100" i="1"/>
  <c r="C102" i="1" s="1"/>
  <c r="C103" i="1" s="1"/>
  <c r="H38" i="1"/>
  <c r="G112" i="1"/>
  <c r="J14" i="2"/>
  <c r="D26" i="2" s="1"/>
  <c r="D28" i="2" s="1"/>
  <c r="I122" i="1"/>
  <c r="I125" i="1" s="1"/>
  <c r="H9" i="1"/>
  <c r="H128" i="1"/>
  <c r="H10" i="1" s="1"/>
  <c r="C105" i="1" l="1"/>
  <c r="C104" i="1"/>
  <c r="I38" i="1"/>
  <c r="H112" i="1"/>
  <c r="H22" i="1"/>
  <c r="H40" i="1"/>
  <c r="H42" i="1"/>
  <c r="H15" i="1" s="1"/>
  <c r="H47" i="1"/>
  <c r="H46" i="1"/>
  <c r="H14" i="1"/>
  <c r="H41" i="1" s="1"/>
  <c r="H11" i="1"/>
  <c r="H12" i="1" s="1"/>
  <c r="I124" i="1"/>
  <c r="I126" i="1" s="1"/>
  <c r="J38" i="1" l="1"/>
  <c r="I112" i="1"/>
  <c r="H43" i="1"/>
  <c r="H45" i="1" s="1"/>
  <c r="H49" i="1" s="1"/>
  <c r="H60" i="1" s="1"/>
  <c r="H62" i="1" s="1"/>
  <c r="H16" i="1"/>
  <c r="H13" i="1"/>
  <c r="H28" i="1" s="1"/>
  <c r="H18" i="1" l="1"/>
  <c r="H27" i="1" s="1"/>
  <c r="H26" i="1"/>
  <c r="I9" i="1"/>
  <c r="I128" i="1"/>
  <c r="I10" i="1" s="1"/>
  <c r="J10" i="1" l="1"/>
  <c r="I22" i="1"/>
  <c r="I40" i="1"/>
  <c r="I14" i="1"/>
  <c r="I41" i="1" s="1"/>
  <c r="I46" i="1"/>
  <c r="I47" i="1"/>
  <c r="I42" i="1"/>
  <c r="I15" i="1" s="1"/>
  <c r="I11" i="1"/>
  <c r="I12" i="1" s="1"/>
  <c r="J40" i="1" l="1"/>
  <c r="J46" i="1"/>
  <c r="J14" i="1"/>
  <c r="J41" i="1" s="1"/>
  <c r="J47" i="1"/>
  <c r="J42" i="1"/>
  <c r="I43" i="1"/>
  <c r="I45" i="1" s="1"/>
  <c r="I49" i="1" s="1"/>
  <c r="I60" i="1" s="1"/>
  <c r="I62" i="1" s="1"/>
  <c r="I16" i="1"/>
  <c r="I13" i="1"/>
  <c r="I28" i="1" s="1"/>
  <c r="J43" i="1" l="1"/>
  <c r="J45" i="1" s="1"/>
  <c r="J49" i="1" s="1"/>
  <c r="J60" i="1" s="1"/>
  <c r="J62" i="1" s="1"/>
  <c r="C65" i="1"/>
  <c r="C66" i="1" s="1"/>
  <c r="C67" i="1" s="1"/>
  <c r="I18" i="1"/>
  <c r="I27" i="1" s="1"/>
  <c r="I26" i="1"/>
  <c r="C69" i="1" l="1"/>
  <c r="C78" i="1" l="1"/>
  <c r="C71" i="1"/>
  <c r="C73" i="1" s="1"/>
  <c r="C68" i="1"/>
  <c r="H6" i="5" l="1"/>
  <c r="G6" i="5"/>
  <c r="H7" i="5"/>
  <c r="G7" i="5"/>
  <c r="I7" i="5" l="1"/>
  <c r="I6" i="5"/>
  <c r="K15" i="5"/>
  <c r="G9" i="5" s="1"/>
  <c r="K14" i="5"/>
  <c r="G8" i="5" s="1"/>
  <c r="L14" i="5"/>
  <c r="H8" i="5" s="1"/>
  <c r="K5" i="5" l="1"/>
  <c r="I9" i="5"/>
  <c r="I8" i="5"/>
  <c r="K6" i="5" l="1"/>
  <c r="K7" i="5" s="1"/>
  <c r="K8" i="5" s="1"/>
  <c r="K9" i="5" s="1"/>
  <c r="N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Rohan Rajesh</author>
  </authors>
  <commentList>
    <comment ref="B49" authorId="0" shapeId="0" xr:uid="{9DD71786-AC1E-C549-B04B-0C63332A1ED9}">
      <text>
        <r>
          <rPr>
            <b/>
            <sz val="10"/>
            <color rgb="FF000000"/>
            <rFont val="Calibri"/>
            <family val="34"/>
          </rPr>
          <t>Rohan Rajesh:</t>
        </r>
        <r>
          <rPr>
            <sz val="10"/>
            <color rgb="FF000000"/>
            <rFont val="Calibri"/>
            <family val="34"/>
          </rPr>
          <t xml:space="preserve">
</t>
        </r>
        <r>
          <rPr>
            <sz val="10"/>
            <color rgb="FF000000"/>
            <rFont val="Calibri"/>
            <family val="34"/>
          </rPr>
          <t>By billing in advance, Novapeak creates a deferred revenue liability. This is a source of cash that acts like an interest-free loan for financing working capital. We would add the YoY increase in Deferred Revenue to NOPAT as a cash inflow. With the neutral WC assumption, the FCF estimate is conservative.</t>
        </r>
      </text>
    </comment>
    <comment ref="B63" authorId="0" shapeId="0" xr:uid="{49FCB20A-521C-5245-9211-DD3CFC67D183}">
      <text>
        <r>
          <rPr>
            <b/>
            <sz val="10"/>
            <color rgb="FF000000"/>
            <rFont val="Calibri"/>
            <family val="34"/>
          </rPr>
          <t>Rohan Rajesh:</t>
        </r>
        <r>
          <rPr>
            <sz val="10"/>
            <color rgb="FF000000"/>
            <rFont val="Calibri"/>
            <family val="34"/>
          </rPr>
          <t xml:space="preserve">
</t>
        </r>
        <r>
          <rPr>
            <sz val="10"/>
            <color rgb="FF000000"/>
            <rFont val="Calibri"/>
            <family val="34"/>
          </rPr>
          <t>The 11.5% WACC stems from size &amp; illiquidiy premiums over public large cap software compabies, The risk-free rate (roughly 4%) is a base that the rest of the cost of equity is built off of. Finally, there is no meaningful debt so the company is losing out on the tax shield that would bring the WACC 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Rohan Rajesh</author>
  </authors>
  <commentList>
    <comment ref="B24" authorId="0" shapeId="0" xr:uid="{41FA4412-49C0-F542-AA48-AECD92036127}">
      <text>
        <r>
          <rPr>
            <b/>
            <sz val="10"/>
            <color rgb="FF000000"/>
            <rFont val="Calibri"/>
            <family val="34"/>
          </rPr>
          <t>Rohan Rajesh:</t>
        </r>
        <r>
          <rPr>
            <sz val="10"/>
            <color rgb="FF000000"/>
            <rFont val="Calibri"/>
            <family val="34"/>
          </rPr>
          <t xml:space="preserve">
</t>
        </r>
        <r>
          <rPr>
            <sz val="10"/>
            <color rgb="FF000000"/>
            <rFont val="Calibri"/>
            <family val="34"/>
          </rPr>
          <t>NTM multiples not provided for comparable companies; LTM EV/Revenue and EV/EBITDA multiples used as proxy and applied to NovaPeak's FY2026E (NTM) figures. This is a conservative approach because NTM mutliples would be lower than LTM for high-growth peers.</t>
        </r>
      </text>
    </comment>
    <comment ref="N28" authorId="0" shapeId="0" xr:uid="{32CB87CD-C4CC-134A-89F9-30E9A336BB6C}">
      <text>
        <r>
          <rPr>
            <b/>
            <sz val="10"/>
            <color rgb="FF000000"/>
            <rFont val="Calibri"/>
            <family val="34"/>
          </rPr>
          <t>Rohan Rajesh:</t>
        </r>
        <r>
          <rPr>
            <sz val="10"/>
            <color rgb="FF000000"/>
            <rFont val="Calibri"/>
            <family val="34"/>
          </rPr>
          <t xml:space="preserve">
</t>
        </r>
        <r>
          <rPr>
            <sz val="10"/>
            <color rgb="FF000000"/>
            <rFont val="Calibri"/>
            <family val="34"/>
          </rPr>
          <t>Precedent Transactions multiples are higher than public company comps because of the control premium paid during a M&amp;A transaction by the acquirer for their strategy, synergies, and to capture future value creation that a public market investor cannot (usually 20-40%).Precedent transactions alsosee higher multiples because multiple strategic acquirers / financial buyers bidding in an "auction" drives prices above what public markets value the asset.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Rohan Rajesh</author>
  </authors>
  <commentList>
    <comment ref="B2" authorId="0" shapeId="0" xr:uid="{AF2E8289-0C0C-0E40-811A-8A1ED6F1CB80}">
      <text>
        <r>
          <rPr>
            <b/>
            <sz val="10"/>
            <color rgb="FF000000"/>
            <rFont val="Calibri"/>
            <family val="34"/>
          </rPr>
          <t xml:space="preserve">Rohan Rajesh:
</t>
        </r>
        <r>
          <rPr>
            <sz val="10"/>
            <color rgb="FF000000"/>
            <rFont val="Calibri"/>
            <family val="34"/>
          </rPr>
          <t>Anchor at $1.5B.</t>
        </r>
        <r>
          <rPr>
            <sz val="10"/>
            <color rgb="FF000000"/>
            <rFont val="Calibri"/>
            <family val="34"/>
          </rPr>
          <t xml:space="preserve"> The comps set the floor. The DCF provides a midpoint, and the Precedents show the upside. </t>
        </r>
      </text>
    </comment>
    <comment ref="E17" authorId="0" shapeId="0" xr:uid="{7225B39A-A8D4-7E41-9066-E1BD92195059}">
      <text>
        <r>
          <rPr>
            <b/>
            <sz val="10"/>
            <color rgb="FF000000"/>
            <rFont val="Calibri"/>
            <family val="34"/>
          </rPr>
          <t>Rohan Rajesh:</t>
        </r>
        <r>
          <rPr>
            <sz val="10"/>
            <color rgb="FF000000"/>
            <rFont val="Calibri"/>
            <family val="34"/>
          </rPr>
          <t xml:space="preserve">
</t>
        </r>
        <r>
          <rPr>
            <sz val="10"/>
            <color rgb="FF000000"/>
            <rFont val="Calibri"/>
            <family val="34"/>
          </rPr>
          <t>This is not fair based on the</t>
        </r>
        <r>
          <rPr>
            <sz val="10"/>
            <color rgb="FF000000"/>
            <rFont val="Calibri"/>
            <family val="34"/>
          </rPr>
          <t xml:space="preserve"> </t>
        </r>
        <r>
          <rPr>
            <sz val="10"/>
            <color rgb="FF000000"/>
            <rFont val="Calibri"/>
            <family val="34"/>
          </rPr>
          <t>transaction multiples. At 6.27x NTM Revenue and 28.19x NTM EBITDA, the midpoint sits inside the adjusted public comps range but materially below both precedent transaction multiples (7.58x–9.10x revenue; 45x–52x EBITDA) and the DCF-implied value of ~$1,103M. This offer</t>
        </r>
        <r>
          <rPr>
            <sz val="10"/>
            <color rgb="FF000000"/>
            <rFont val="Calibri"/>
            <family val="34"/>
          </rPr>
          <t xml:space="preserve"> implies a 25-25% discount to precedents and does not factor in NovaPeaks's 144% NRR, 25%+ growth and expanding margins. Arcturus should counter above $1.1B</t>
        </r>
      </text>
    </comment>
  </commentList>
</comments>
</file>

<file path=xl/sharedStrings.xml><?xml version="1.0" encoding="utf-8"?>
<sst xmlns="http://schemas.openxmlformats.org/spreadsheetml/2006/main" count="238" uniqueCount="196">
  <si>
    <t>Actual</t>
  </si>
  <si>
    <t>Projected</t>
  </si>
  <si>
    <t>Financial Statement Forecasting</t>
  </si>
  <si>
    <t>Income Statement Model</t>
  </si>
  <si>
    <t>NovaPeak Software Inc</t>
  </si>
  <si>
    <t>Valuation</t>
  </si>
  <si>
    <t>ARR Bridge</t>
  </si>
  <si>
    <t>ARR (End of Period)</t>
  </si>
  <si>
    <t>Total Revenue</t>
  </si>
  <si>
    <t>COGS</t>
  </si>
  <si>
    <t>Gross Profit</t>
  </si>
  <si>
    <t>SGA Expense</t>
  </si>
  <si>
    <t>EBITDA</t>
  </si>
  <si>
    <t>Depreciation &amp; Amortization</t>
  </si>
  <si>
    <t>EBIT</t>
  </si>
  <si>
    <t>Tax Liability</t>
  </si>
  <si>
    <t>Net Income</t>
  </si>
  <si>
    <t>Income Statement Assumptions/Drivers</t>
  </si>
  <si>
    <t>Total Revenue Growth</t>
  </si>
  <si>
    <t>Gross Margin</t>
  </si>
  <si>
    <t>EBITDA Margin</t>
  </si>
  <si>
    <t>EBIT Margin</t>
  </si>
  <si>
    <t>Profit Margin</t>
  </si>
  <si>
    <t>SG&amp;A as % of Revenue</t>
  </si>
  <si>
    <t>Average Customer Value</t>
  </si>
  <si>
    <t>($ 000,000s)</t>
  </si>
  <si>
    <t>Net Revenue Retention</t>
  </si>
  <si>
    <t>Gross Revenue Retention</t>
  </si>
  <si>
    <t>Shares Outstanding</t>
  </si>
  <si>
    <t>Supporting Schedules</t>
  </si>
  <si>
    <t>Growth Rate</t>
  </si>
  <si>
    <t>New Customers Per Year</t>
  </si>
  <si>
    <t>Churn</t>
  </si>
  <si>
    <t>Beginning ARR</t>
  </si>
  <si>
    <t>Professional Services</t>
  </si>
  <si>
    <t>Revenue</t>
  </si>
  <si>
    <t>Tax Rate</t>
  </si>
  <si>
    <t>Step</t>
  </si>
  <si>
    <t>Free Cash Flow</t>
  </si>
  <si>
    <t>New ARR</t>
  </si>
  <si>
    <t>Expansion ARR</t>
  </si>
  <si>
    <t>Churn ARR</t>
  </si>
  <si>
    <t>Ending ARR</t>
  </si>
  <si>
    <t>Taxes</t>
  </si>
  <si>
    <t>NOPAT</t>
  </si>
  <si>
    <t>CapEx</t>
  </si>
  <si>
    <t>FCF Assumptions &amp; Drivers</t>
  </si>
  <si>
    <t>CapEx as % of Revenue</t>
  </si>
  <si>
    <t>D&amp;A as % of Revenue</t>
  </si>
  <si>
    <t>Change in NWC</t>
  </si>
  <si>
    <t>Cash Tax Rate</t>
  </si>
  <si>
    <t>Unlevered FCF</t>
  </si>
  <si>
    <t>Comparable Public Companies</t>
  </si>
  <si>
    <t>Precedent Transaction Comps</t>
  </si>
  <si>
    <t>Company Information</t>
  </si>
  <si>
    <t>Financial Information</t>
  </si>
  <si>
    <t>Financial Multiples</t>
  </si>
  <si>
    <t xml:space="preserve">Enterprise </t>
  </si>
  <si>
    <t xml:space="preserve">Revenue </t>
  </si>
  <si>
    <t xml:space="preserve">EV / </t>
  </si>
  <si>
    <t>Value ($M)</t>
  </si>
  <si>
    <t>($M)</t>
  </si>
  <si>
    <t xml:space="preserve"> ($M)</t>
  </si>
  <si>
    <t>Minimum</t>
  </si>
  <si>
    <t>Median</t>
  </si>
  <si>
    <t xml:space="preserve">Average </t>
  </si>
  <si>
    <t>Maximum</t>
  </si>
  <si>
    <t>25th Percentile</t>
  </si>
  <si>
    <t>75th Percentile</t>
  </si>
  <si>
    <t>Growth (%)</t>
  </si>
  <si>
    <t>Net Revenue</t>
  </si>
  <si>
    <t>Retention</t>
  </si>
  <si>
    <t>Company</t>
  </si>
  <si>
    <t>Name</t>
  </si>
  <si>
    <t>ShiftMed Technologies</t>
  </si>
  <si>
    <t>CareSync Platforms</t>
  </si>
  <si>
    <t>WorkforeIQ Inc.</t>
  </si>
  <si>
    <t>AxisPro Solutions</t>
  </si>
  <si>
    <t>MedStaff Cloud</t>
  </si>
  <si>
    <t>Date</t>
  </si>
  <si>
    <t>Deal</t>
  </si>
  <si>
    <t>Target</t>
  </si>
  <si>
    <t>Acquirer</t>
  </si>
  <si>
    <t>MedTrack</t>
  </si>
  <si>
    <t>ShiftLogic</t>
  </si>
  <si>
    <t>NursingOS</t>
  </si>
  <si>
    <t>HealthRoster Pro</t>
  </si>
  <si>
    <t>Kronos Unified</t>
  </si>
  <si>
    <t>SAP Healthcare</t>
  </si>
  <si>
    <t>ADP</t>
  </si>
  <si>
    <t>Ceridian</t>
  </si>
  <si>
    <t>EV/</t>
  </si>
  <si>
    <t>NTM Rev</t>
  </si>
  <si>
    <t>NTM EBITDA</t>
  </si>
  <si>
    <t>Size/Liquidity Discount</t>
  </si>
  <si>
    <t>Enterprise Value (EV/ NTM Rev)</t>
  </si>
  <si>
    <t>Enterprise Value (EV/ NTM EBITDA)</t>
  </si>
  <si>
    <t>Net Cash</t>
  </si>
  <si>
    <t>Cash, Net</t>
  </si>
  <si>
    <t>Implied Equity Value</t>
  </si>
  <si>
    <t>Implied Equity Value Per Share</t>
  </si>
  <si>
    <t>Shares Outstanding (M)</t>
  </si>
  <si>
    <t>Discounted Cash Flow</t>
  </si>
  <si>
    <t>Period</t>
  </si>
  <si>
    <t>WACC</t>
  </si>
  <si>
    <t>Terminal Value</t>
  </si>
  <si>
    <t>2029E EBITDA</t>
  </si>
  <si>
    <t>Exit Multiple</t>
  </si>
  <si>
    <t>Discounted Terminal Value</t>
  </si>
  <si>
    <t>Enterprise Value</t>
  </si>
  <si>
    <t>Equity Value</t>
  </si>
  <si>
    <t>Implied Equity Value per Share</t>
  </si>
  <si>
    <t xml:space="preserve"> Chart Options</t>
  </si>
  <si>
    <t>Statistics</t>
  </si>
  <si>
    <t>Bonus line value</t>
  </si>
  <si>
    <t>Number Formats</t>
  </si>
  <si>
    <t>Average label</t>
  </si>
  <si>
    <t>"Average "$0.00</t>
  </si>
  <si>
    <t>Median label</t>
  </si>
  <si>
    <t>"Median "$0.00</t>
  </si>
  <si>
    <t>Bonus label</t>
  </si>
  <si>
    <t>"Price "$0.00</t>
  </si>
  <si>
    <t>Low</t>
  </si>
  <si>
    <t>High</t>
  </si>
  <si>
    <t>Delta</t>
  </si>
  <si>
    <t>Line X</t>
  </si>
  <si>
    <t>Average</t>
  </si>
  <si>
    <t>Bonus</t>
  </si>
  <si>
    <t>Label Average</t>
  </si>
  <si>
    <t>Label Median</t>
  </si>
  <si>
    <t>Label Bonus</t>
  </si>
  <si>
    <t>DCF</t>
  </si>
  <si>
    <t>PC</t>
  </si>
  <si>
    <t>T</t>
  </si>
  <si>
    <t>Public</t>
  </si>
  <si>
    <t>Trans</t>
  </si>
  <si>
    <t>Terminal Value as % of Total EV</t>
  </si>
  <si>
    <t>Football Field Chart Table</t>
  </si>
  <si>
    <t>Sensitivity Analysis</t>
  </si>
  <si>
    <t>Discounted Cash Flows</t>
  </si>
  <si>
    <t>Offer</t>
  </si>
  <si>
    <t>Midpoint</t>
  </si>
  <si>
    <t>EV/ NTM EBITDA</t>
  </si>
  <si>
    <t>EV / NTM REV</t>
  </si>
  <si>
    <t>Accredition / Dilution</t>
  </si>
  <si>
    <t>Interest Rate on New Debt</t>
  </si>
  <si>
    <t>Helix EPS</t>
  </si>
  <si>
    <t>Purchase Price (M)</t>
  </si>
  <si>
    <t>Cash Consideration</t>
  </si>
  <si>
    <t>Cash Used</t>
  </si>
  <si>
    <t>New Debt Issued</t>
  </si>
  <si>
    <t>Helix Diluted Shares Outstanding (M)</t>
  </si>
  <si>
    <t>Gross Annual Interst Cost</t>
  </si>
  <si>
    <t xml:space="preserve">After-Tax Interest </t>
  </si>
  <si>
    <t>Helix Net Income</t>
  </si>
  <si>
    <t>NovaPeak Net Income</t>
  </si>
  <si>
    <t>After-Tax Interest on Debt</t>
  </si>
  <si>
    <t>Projected Net Income</t>
  </si>
  <si>
    <t>Projected EPS</t>
  </si>
  <si>
    <t>Accretion / (Dilution)</t>
  </si>
  <si>
    <t>Accretion / (Dilution) %</t>
  </si>
  <si>
    <t>Sell-Side M&amp;A Deal Process</t>
  </si>
  <si>
    <t>1)</t>
  </si>
  <si>
    <t>2)</t>
  </si>
  <si>
    <t>3)</t>
  </si>
  <si>
    <t>4)</t>
  </si>
  <si>
    <t>5)</t>
  </si>
  <si>
    <t>6)</t>
  </si>
  <si>
    <t>Milestone</t>
  </si>
  <si>
    <t>What Happens</t>
  </si>
  <si>
    <t>Deliverables</t>
  </si>
  <si>
    <t>Weeks from Launch</t>
  </si>
  <si>
    <t>Preparation &amp; Positioning</t>
  </si>
  <si>
    <t>Buyer Identification &amp; Outreach</t>
  </si>
  <si>
    <t>First Round Bids (Indications of Interest)</t>
  </si>
  <si>
    <t>Management Presentations &amp; Due Diligence</t>
  </si>
  <si>
    <t>Final Round Bids (Letters of Intent)</t>
  </si>
  <si>
    <t>Definitive Agreement &amp; Close</t>
  </si>
  <si>
    <t>LOI Submissions, Bid Comparison Matrix, Exclusivity Agreement</t>
  </si>
  <si>
    <t>Weeks 1-4</t>
  </si>
  <si>
    <t>Weeks 3-6</t>
  </si>
  <si>
    <t>Weeks 6-9</t>
  </si>
  <si>
    <t>Weeks 8-14</t>
  </si>
  <si>
    <t>Weeks 16-24</t>
  </si>
  <si>
    <t>Weeks 13-17</t>
  </si>
  <si>
    <t>Confidential Information Memorandum, Management Presentation, Financial Model, Teaser / One-Pager</t>
  </si>
  <si>
    <t>Buyer Universe List, Blind Teaser, NDA Agreements, Indication of Interest (IOI)</t>
  </si>
  <si>
    <t>CIM Distribution, IOI Submissions, Buyer Shortlist</t>
  </si>
  <si>
    <t>Management Presentation Meetings, VDR Access, Q&amp;A Log, Diligence</t>
  </si>
  <si>
    <t>Signed SPA, Regulatory Filings, Closing Funds Flow, Press Release</t>
  </si>
  <si>
    <t>Meridian partners with Arcturus and NovaPeak management to build marketing materials, stress-test the financial model, and position the equity story around NRR, margin trajectory, and a healthcare-focused moat.</t>
  </si>
  <si>
    <t>Meridian develops a buyer list across strategic acquirers and financial sponsors, distributes blind teasers, and manages NDA execution prior to sharing the CIM.</t>
  </si>
  <si>
    <t>Qualified buyers receive the CIM and model, submit IOIs with valuation ranges, and Meridian narrows the field to a shortlist for management presentations.</t>
  </si>
  <si>
    <t>Shortlisted bidders engage with management and access a VDR containing full diligence materials while conducting parallel operational, financial, and legal review.</t>
  </si>
  <si>
    <t>Final bidders submit binding LOIs with price, structure, and financing details, and Meridian runs a competitive process before Arcturus selects a preferred bidder and grants exclusivity.</t>
  </si>
  <si>
    <t>Legal teams finalize the SPA, complete confirmatory diligence and regulatory approvals, and close the transaction with proceeds transferred to Arcturus.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</si>
</sst>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3" formatCode="_(* #,##0.00_);_(* \(#,##0.00\);_(* &quot;-&quot;??_);_(@_)"/>
    <numFmt numFmtId="164" formatCode="0.0%"/>
    <numFmt numFmtId="165" formatCode="_(* #,##0.000_);_(* \(#,##0.000\);_(* &quot;-&quot;??_);_(@_)"/>
    <numFmt numFmtId="167" formatCode="_(* #,##0.0_);_(* \(#,##0.0\);_(* &quot;-&quot;??_);_(@_)"/>
    <numFmt numFmtId="168" formatCode="_(* #,##0.0_);_(* \(#,##0.0\);_(* &quot;-&quot;?_);_(@_)"/>
    <numFmt numFmtId="169" formatCode="0.00\x"/>
    <numFmt numFmtId="174" formatCode="_(* #,##0_);_(* \(#,##0\);_(* &quot;-&quot;??_);_(@_)"/>
    <numFmt numFmtId="177" formatCode=";;;"/>
    <numFmt numFmtId="178" formatCode="0.0"/>
  </numFmts>
  <fonts count="18" x14ac:knownFonts="1">
    <font>
      <sz val="12"/>
      <color theme="1"/>
      <name val="Aptos Narrow"/>
      <family val="2"/>
      <scheme val="minor"/>
    </font>
    <font>
      <sz val="12"/>
      <color theme="1"/>
      <name val="Aptos Narrow"/>
      <family val="2"/>
      <scheme val="minor"/>
    </font>
    <font>
      <sz val="10"/>
      <color theme="1"/>
      <name val="Calibri"/>
      <family val="2"/>
    </font>
    <font>
      <sz val="10"/>
      <color theme="0"/>
      <name val="Calibri"/>
      <family val="2"/>
    </font>
    <font>
      <b/>
      <sz val="10"/>
      <color theme="1"/>
      <name val="Calibri"/>
      <family val="2"/>
    </font>
    <font>
      <i/>
      <sz val="10"/>
      <color theme="1"/>
      <name val="Calibri"/>
      <family val="2"/>
    </font>
    <font>
      <sz val="10"/>
      <color rgb="FF0000FF"/>
      <name val="Calibri"/>
      <family val="2"/>
    </font>
    <font>
      <b/>
      <sz val="10"/>
      <color theme="0"/>
      <name val="Calibri"/>
      <family val="2"/>
    </font>
    <font>
      <sz val="10"/>
      <name val="Calibri"/>
      <family val="2"/>
    </font>
    <font>
      <sz val="8"/>
      <color rgb="FF000000"/>
      <name val="Segoe UI"/>
      <charset val="1"/>
    </font>
    <font>
      <sz val="10"/>
      <color rgb="FFFFFFFF"/>
      <name val="Calibri"/>
      <family val="2"/>
    </font>
    <font>
      <b/>
      <sz val="10"/>
      <color rgb="FFBF9000"/>
      <name val="Calibri"/>
      <family val="2"/>
    </font>
    <font>
      <b/>
      <sz val="10"/>
      <color rgb="FF008000"/>
      <name val="Calibri"/>
      <family val="2"/>
    </font>
    <font>
      <b/>
      <sz val="10"/>
      <name val="Calibri"/>
      <family val="2"/>
    </font>
    <font>
      <b/>
      <sz val="10"/>
      <color rgb="FF0000FF"/>
      <name val="Calibri"/>
      <family val="2"/>
    </font>
    <font>
      <i/>
      <sz val="10"/>
      <color rgb="FF0000FF"/>
      <name val="Calibri"/>
      <family val="2"/>
    </font>
    <font>
      <b/>
      <sz val="10"/>
      <color rgb="FF000000"/>
      <name val="Calibri"/>
      <family val="34"/>
    </font>
    <font>
      <sz val="10"/>
      <color rgb="FF000000"/>
      <name val="Calibri"/>
      <family val="34"/>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844896"/>
        <bgColor indexed="64"/>
      </patternFill>
    </fill>
    <fill>
      <patternFill patternType="solid">
        <fgColor rgb="FFFAE9C8"/>
        <bgColor indexed="64"/>
      </patternFill>
    </fill>
    <fill>
      <patternFill patternType="solid">
        <fgColor theme="0" tint="-4.9989318521683403E-2"/>
        <bgColor indexed="64"/>
      </patternFill>
    </fill>
    <fill>
      <patternFill patternType="solid">
        <fgColor rgb="FFBF9000"/>
        <bgColor indexed="64"/>
      </patternFill>
    </fill>
    <fill>
      <patternFill patternType="solid">
        <fgColor rgb="FFFFF2CC"/>
        <bgColor indexed="64"/>
      </patternFill>
    </fill>
    <fill>
      <patternFill patternType="solid">
        <fgColor rgb="FFFFE599"/>
        <bgColor indexed="64"/>
      </patternFill>
    </fill>
    <fill>
      <patternFill patternType="solid">
        <fgColor rgb="FFFFFF00"/>
        <bgColor indexed="64"/>
      </patternFill>
    </fill>
  </fills>
  <borders count="5">
    <border>
      <left/>
      <right/>
      <top/>
      <bottom/>
      <diagonal/>
    </border>
    <border>
      <left/>
      <right/>
      <top/>
      <bottom style="thin">
        <color indexed="64"/>
      </bottom>
      <diagonal/>
    </border>
    <border>
      <left/>
      <right/>
      <top style="thin">
        <color indexed="64"/>
      </top>
      <bottom/>
      <diagonal/>
    </border>
    <border>
      <left/>
      <right/>
      <top/>
      <bottom style="thin">
        <color rgb="FFBF9000"/>
      </bottom>
      <diagonal/>
    </border>
    <border>
      <left/>
      <right style="thin">
        <color indexed="64"/>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33">
    <xf numFmtId="0" fontId="0" fillId="0" borderId="0" xfId="0"/>
    <xf numFmtId="0" fontId="2" fillId="0" borderId="0" xfId="0" applyFont="1" applyAlignment="1">
      <alignment vertical="center"/>
    </xf>
    <xf numFmtId="0" fontId="2" fillId="0" borderId="0" xfId="0" applyFont="1" applyAlignment="1">
      <alignment horizontal="right" vertical="center"/>
    </xf>
    <xf numFmtId="0" fontId="2" fillId="2" borderId="0" xfId="0" applyFont="1" applyFill="1" applyAlignment="1">
      <alignment vertical="center"/>
    </xf>
    <xf numFmtId="0" fontId="7" fillId="2" borderId="0" xfId="0" applyFont="1" applyFill="1" applyAlignment="1">
      <alignment vertical="center"/>
    </xf>
    <xf numFmtId="0" fontId="8" fillId="0" borderId="0" xfId="0" applyFont="1" applyAlignment="1">
      <alignment vertical="center"/>
    </xf>
    <xf numFmtId="0" fontId="2" fillId="0" borderId="0" xfId="0" applyFont="1"/>
    <xf numFmtId="0" fontId="4" fillId="0" borderId="0" xfId="0" applyFont="1" applyAlignment="1">
      <alignment horizontal="centerContinuous"/>
    </xf>
    <xf numFmtId="0" fontId="2" fillId="0" borderId="0" xfId="0" applyFont="1" applyAlignment="1">
      <alignment horizontal="centerContinuous"/>
    </xf>
    <xf numFmtId="0" fontId="2" fillId="0" borderId="2" xfId="0" applyFont="1" applyBorder="1"/>
    <xf numFmtId="0" fontId="2" fillId="0" borderId="2" xfId="0" applyFont="1" applyBorder="1" applyAlignment="1">
      <alignment vertical="center"/>
    </xf>
    <xf numFmtId="0" fontId="6" fillId="0" borderId="2" xfId="0" applyFont="1" applyBorder="1" applyAlignment="1">
      <alignment vertical="center"/>
    </xf>
    <xf numFmtId="0" fontId="5" fillId="0" borderId="0" xfId="0" applyFont="1"/>
    <xf numFmtId="0" fontId="4" fillId="0" borderId="0" xfId="0" applyFont="1"/>
    <xf numFmtId="0" fontId="7" fillId="4" borderId="0" xfId="0" applyFont="1" applyFill="1"/>
    <xf numFmtId="0" fontId="4" fillId="5" borderId="0" xfId="0" applyFont="1" applyFill="1"/>
    <xf numFmtId="43" fontId="2" fillId="0" borderId="0" xfId="1" applyFont="1"/>
    <xf numFmtId="43" fontId="2" fillId="0" borderId="0" xfId="1" applyFont="1" applyAlignment="1">
      <alignment vertical="center"/>
    </xf>
    <xf numFmtId="0" fontId="2" fillId="0" borderId="0" xfId="0" applyFont="1" applyAlignment="1">
      <alignment horizontal="left" indent="1"/>
    </xf>
    <xf numFmtId="0" fontId="2" fillId="0" borderId="0" xfId="0" applyFont="1" applyAlignment="1">
      <alignment horizontal="left"/>
    </xf>
    <xf numFmtId="0" fontId="2" fillId="5" borderId="0" xfId="0" applyFont="1" applyFill="1"/>
    <xf numFmtId="9" fontId="2" fillId="0" borderId="0" xfId="2" applyFont="1"/>
    <xf numFmtId="164" fontId="2" fillId="0" borderId="0" xfId="2" applyNumberFormat="1" applyFont="1"/>
    <xf numFmtId="43" fontId="2" fillId="0" borderId="0" xfId="0" applyNumberFormat="1" applyFont="1"/>
    <xf numFmtId="9" fontId="2" fillId="0" borderId="0" xfId="0" applyNumberFormat="1" applyFont="1"/>
    <xf numFmtId="164" fontId="2" fillId="0" borderId="0" xfId="0" applyNumberFormat="1" applyFont="1"/>
    <xf numFmtId="165" fontId="2" fillId="0" borderId="0" xfId="1" applyNumberFormat="1" applyFont="1"/>
    <xf numFmtId="167" fontId="2" fillId="0" borderId="0" xfId="1" applyNumberFormat="1" applyFont="1"/>
    <xf numFmtId="167" fontId="2" fillId="0" borderId="1" xfId="1" applyNumberFormat="1" applyFont="1" applyBorder="1" applyAlignment="1">
      <alignment vertical="center"/>
    </xf>
    <xf numFmtId="167" fontId="2" fillId="0" borderId="0" xfId="0" applyNumberFormat="1" applyFont="1"/>
    <xf numFmtId="167" fontId="2" fillId="0" borderId="1" xfId="1" applyNumberFormat="1" applyFont="1" applyBorder="1"/>
    <xf numFmtId="167" fontId="4" fillId="0" borderId="0" xfId="1" applyNumberFormat="1" applyFont="1"/>
    <xf numFmtId="43" fontId="7" fillId="2" borderId="0" xfId="0" applyNumberFormat="1" applyFont="1" applyFill="1" applyAlignment="1">
      <alignment vertical="center"/>
    </xf>
    <xf numFmtId="167" fontId="4" fillId="0" borderId="2" xfId="0" applyNumberFormat="1" applyFont="1" applyBorder="1"/>
    <xf numFmtId="168" fontId="2" fillId="0" borderId="0" xfId="0" applyNumberFormat="1" applyFont="1"/>
    <xf numFmtId="43" fontId="4" fillId="0" borderId="0" xfId="0" applyNumberFormat="1" applyFont="1"/>
    <xf numFmtId="0" fontId="4" fillId="0" borderId="2" xfId="0" applyFont="1" applyBorder="1"/>
    <xf numFmtId="43" fontId="4" fillId="0" borderId="2" xfId="0" applyNumberFormat="1" applyFont="1" applyBorder="1"/>
    <xf numFmtId="0" fontId="2" fillId="0" borderId="0" xfId="0" applyFont="1" applyAlignment="1">
      <alignment horizontal="center"/>
    </xf>
    <xf numFmtId="0" fontId="2" fillId="0" borderId="0" xfId="0" applyFont="1" applyBorder="1" applyAlignment="1">
      <alignment vertical="center"/>
    </xf>
    <xf numFmtId="0" fontId="5" fillId="6" borderId="0" xfId="0" applyFont="1" applyFill="1" applyAlignment="1">
      <alignment horizontal="left" indent="1"/>
    </xf>
    <xf numFmtId="174" fontId="2" fillId="0" borderId="0" xfId="0" applyNumberFormat="1" applyFont="1"/>
    <xf numFmtId="9" fontId="2" fillId="0" borderId="0" xfId="2" applyNumberFormat="1" applyFont="1"/>
    <xf numFmtId="0" fontId="5" fillId="0" borderId="1" xfId="0" applyFont="1" applyBorder="1" applyAlignment="1">
      <alignment horizontal="center"/>
    </xf>
    <xf numFmtId="0" fontId="5" fillId="0" borderId="1" xfId="0" applyFont="1" applyBorder="1" applyAlignment="1">
      <alignment horizontal="centerContinuous"/>
    </xf>
    <xf numFmtId="0" fontId="7" fillId="4" borderId="0" xfId="0" applyFont="1" applyFill="1" applyAlignment="1">
      <alignment horizontal="center"/>
    </xf>
    <xf numFmtId="0" fontId="7" fillId="4" borderId="0" xfId="0" applyFont="1" applyFill="1" applyAlignment="1">
      <alignment horizontal="center" wrapText="1"/>
    </xf>
    <xf numFmtId="43" fontId="2" fillId="0" borderId="0" xfId="1" applyNumberFormat="1" applyFont="1" applyAlignment="1">
      <alignment horizontal="center"/>
    </xf>
    <xf numFmtId="9" fontId="2" fillId="0" borderId="0" xfId="2" applyFont="1" applyAlignment="1">
      <alignment horizontal="center"/>
    </xf>
    <xf numFmtId="169" fontId="2" fillId="0" borderId="0" xfId="0" applyNumberFormat="1" applyFont="1" applyAlignment="1">
      <alignment horizontal="center"/>
    </xf>
    <xf numFmtId="17" fontId="2" fillId="0" borderId="0" xfId="0" applyNumberFormat="1" applyFont="1"/>
    <xf numFmtId="0" fontId="3" fillId="4" borderId="0" xfId="0" applyFont="1" applyFill="1"/>
    <xf numFmtId="43" fontId="3" fillId="4" borderId="0" xfId="0" applyNumberFormat="1" applyFont="1" applyFill="1" applyAlignment="1">
      <alignment horizontal="center"/>
    </xf>
    <xf numFmtId="43" fontId="3" fillId="4" borderId="0" xfId="1" applyNumberFormat="1" applyFont="1" applyFill="1" applyAlignment="1">
      <alignment horizontal="center"/>
    </xf>
    <xf numFmtId="9" fontId="3" fillId="4" borderId="0" xfId="2" applyFont="1" applyFill="1" applyAlignment="1">
      <alignment horizontal="center"/>
    </xf>
    <xf numFmtId="0" fontId="3" fillId="4" borderId="0" xfId="0" applyFont="1" applyFill="1" applyAlignment="1">
      <alignment horizontal="center"/>
    </xf>
    <xf numFmtId="169" fontId="3" fillId="4" borderId="0" xfId="0" applyNumberFormat="1" applyFont="1" applyFill="1" applyAlignment="1">
      <alignment horizontal="center"/>
    </xf>
    <xf numFmtId="43" fontId="2" fillId="5" borderId="0" xfId="1" applyNumberFormat="1" applyFont="1" applyFill="1" applyAlignment="1">
      <alignment horizontal="center"/>
    </xf>
    <xf numFmtId="9" fontId="2" fillId="5" borderId="0" xfId="2" applyFont="1" applyFill="1" applyAlignment="1">
      <alignment horizontal="center"/>
    </xf>
    <xf numFmtId="169" fontId="2" fillId="5" borderId="0" xfId="0" applyNumberFormat="1" applyFont="1" applyFill="1" applyAlignment="1">
      <alignment horizontal="center"/>
    </xf>
    <xf numFmtId="169" fontId="2" fillId="5" borderId="0" xfId="2" applyNumberFormat="1" applyFont="1" applyFill="1" applyAlignment="1">
      <alignment horizontal="center"/>
    </xf>
    <xf numFmtId="169" fontId="3" fillId="4" borderId="0" xfId="2" applyNumberFormat="1" applyFont="1" applyFill="1" applyAlignment="1">
      <alignment horizontal="center"/>
    </xf>
    <xf numFmtId="43" fontId="4" fillId="0" borderId="2" xfId="1" applyFont="1" applyBorder="1"/>
    <xf numFmtId="37" fontId="2" fillId="0" borderId="0" xfId="0" applyNumberFormat="1" applyFont="1" applyAlignment="1">
      <alignment vertical="center"/>
    </xf>
    <xf numFmtId="0" fontId="4" fillId="2" borderId="0" xfId="0" applyFont="1" applyFill="1" applyAlignment="1">
      <alignment vertical="center"/>
    </xf>
    <xf numFmtId="167" fontId="4" fillId="2" borderId="0" xfId="0" applyNumberFormat="1" applyFont="1" applyFill="1" applyAlignment="1">
      <alignment vertical="center"/>
    </xf>
    <xf numFmtId="174" fontId="2" fillId="0" borderId="0" xfId="1" applyNumberFormat="1" applyFont="1"/>
    <xf numFmtId="0" fontId="3" fillId="4" borderId="0" xfId="0" applyFont="1" applyFill="1" applyAlignment="1">
      <alignment horizontal="centerContinuous" vertical="center"/>
    </xf>
    <xf numFmtId="0" fontId="8" fillId="0" borderId="0" xfId="0" applyFont="1" applyAlignment="1">
      <alignment horizontal="right" vertical="center" textRotation="90"/>
    </xf>
    <xf numFmtId="37" fontId="2" fillId="0" borderId="0" xfId="0" applyNumberFormat="1" applyFont="1" applyAlignment="1">
      <alignment horizontal="center" vertical="center"/>
    </xf>
    <xf numFmtId="39" fontId="2" fillId="0" borderId="0" xfId="0" applyNumberFormat="1" applyFont="1" applyAlignment="1">
      <alignment horizontal="center" vertical="center"/>
    </xf>
    <xf numFmtId="39" fontId="2" fillId="3" borderId="0" xfId="0" applyNumberFormat="1" applyFont="1" applyFill="1" applyAlignment="1">
      <alignment horizontal="center" vertical="center"/>
    </xf>
    <xf numFmtId="0" fontId="10" fillId="7" borderId="0" xfId="0" applyFont="1" applyFill="1" applyAlignment="1">
      <alignment horizontal="center" vertical="center"/>
    </xf>
    <xf numFmtId="0" fontId="2" fillId="7" borderId="0" xfId="0" applyFont="1" applyFill="1" applyAlignment="1">
      <alignment horizontal="center" vertical="center"/>
    </xf>
    <xf numFmtId="0" fontId="2" fillId="0" borderId="0" xfId="0" applyFont="1" applyAlignment="1">
      <alignment horizontal="center" vertical="center"/>
    </xf>
    <xf numFmtId="0" fontId="2" fillId="8" borderId="0" xfId="0" applyFont="1" applyFill="1" applyAlignment="1">
      <alignment horizontal="center" vertical="center"/>
    </xf>
    <xf numFmtId="0" fontId="11" fillId="8" borderId="0" xfId="0" applyFont="1" applyFill="1" applyAlignment="1">
      <alignment horizontal="center" vertical="center"/>
    </xf>
    <xf numFmtId="177" fontId="2" fillId="8" borderId="0" xfId="0" applyNumberFormat="1" applyFont="1" applyFill="1" applyAlignment="1">
      <alignment horizontal="center" vertical="center"/>
    </xf>
    <xf numFmtId="0" fontId="6" fillId="9" borderId="0" xfId="0" applyFont="1" applyFill="1" applyAlignment="1">
      <alignment horizontal="center" vertical="center"/>
    </xf>
    <xf numFmtId="0" fontId="2" fillId="8" borderId="3" xfId="0" applyFont="1" applyFill="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169" fontId="2" fillId="0" borderId="0" xfId="1" applyNumberFormat="1" applyFont="1" applyAlignment="1">
      <alignment horizontal="center" vertical="center"/>
    </xf>
    <xf numFmtId="43" fontId="2" fillId="0" borderId="0" xfId="1" applyFont="1" applyAlignment="1">
      <alignment horizontal="center" vertical="center"/>
    </xf>
    <xf numFmtId="169" fontId="2" fillId="0" borderId="0" xfId="0" applyNumberFormat="1" applyFont="1" applyAlignment="1">
      <alignment horizontal="center" vertical="center"/>
    </xf>
    <xf numFmtId="0" fontId="6" fillId="0" borderId="0" xfId="0" applyFont="1"/>
    <xf numFmtId="0" fontId="6" fillId="0" borderId="2" xfId="0" applyFont="1" applyBorder="1"/>
    <xf numFmtId="167" fontId="6" fillId="0" borderId="0" xfId="1" applyNumberFormat="1" applyFont="1"/>
    <xf numFmtId="167" fontId="6" fillId="0" borderId="1" xfId="1" applyNumberFormat="1" applyFont="1" applyBorder="1" applyAlignment="1">
      <alignment vertical="center"/>
    </xf>
    <xf numFmtId="167" fontId="6" fillId="0" borderId="1" xfId="1" applyNumberFormat="1" applyFont="1" applyBorder="1"/>
    <xf numFmtId="164" fontId="6" fillId="0" borderId="0" xfId="2" applyNumberFormat="1" applyFont="1"/>
    <xf numFmtId="164" fontId="15" fillId="6" borderId="0" xfId="2" applyNumberFormat="1" applyFont="1" applyFill="1"/>
    <xf numFmtId="0" fontId="15" fillId="6" borderId="0" xfId="0" applyFont="1" applyFill="1"/>
    <xf numFmtId="9" fontId="6" fillId="0" borderId="0" xfId="0" applyNumberFormat="1" applyFont="1"/>
    <xf numFmtId="0" fontId="14" fillId="2" borderId="0" xfId="0" applyFont="1" applyFill="1" applyAlignment="1">
      <alignment vertical="center"/>
    </xf>
    <xf numFmtId="167" fontId="14" fillId="2" borderId="0" xfId="0" applyNumberFormat="1" applyFont="1" applyFill="1" applyAlignment="1">
      <alignment vertical="center"/>
    </xf>
    <xf numFmtId="167" fontId="6" fillId="0" borderId="0" xfId="0" applyNumberFormat="1" applyFont="1"/>
    <xf numFmtId="43" fontId="6" fillId="0" borderId="0" xfId="1" applyFont="1"/>
    <xf numFmtId="174" fontId="6" fillId="0" borderId="0" xfId="1" applyNumberFormat="1" applyFont="1"/>
    <xf numFmtId="10" fontId="6" fillId="0" borderId="0" xfId="0" applyNumberFormat="1" applyFont="1"/>
    <xf numFmtId="169" fontId="6" fillId="0" borderId="0" xfId="0" applyNumberFormat="1" applyFont="1"/>
    <xf numFmtId="9" fontId="6" fillId="0" borderId="0" xfId="2" applyFont="1"/>
    <xf numFmtId="165" fontId="6" fillId="0" borderId="0" xfId="1" applyNumberFormat="1" applyFont="1"/>
    <xf numFmtId="174" fontId="6" fillId="0" borderId="0" xfId="0" applyNumberFormat="1" applyFont="1"/>
    <xf numFmtId="9" fontId="6" fillId="0" borderId="0" xfId="2" applyNumberFormat="1" applyFont="1"/>
    <xf numFmtId="167" fontId="14" fillId="0" borderId="2" xfId="0" applyNumberFormat="1" applyFont="1" applyBorder="1"/>
    <xf numFmtId="43" fontId="6" fillId="0" borderId="0" xfId="1" applyNumberFormat="1" applyFont="1" applyAlignment="1">
      <alignment horizontal="center"/>
    </xf>
    <xf numFmtId="9" fontId="6" fillId="0" borderId="0" xfId="2" applyFont="1" applyAlignment="1">
      <alignment horizontal="center"/>
    </xf>
    <xf numFmtId="37" fontId="6" fillId="0" borderId="0" xfId="0" applyNumberFormat="1" applyFont="1" applyAlignment="1">
      <alignment horizontal="center"/>
    </xf>
    <xf numFmtId="169" fontId="6" fillId="0" borderId="0" xfId="0" applyNumberFormat="1" applyFont="1" applyAlignment="1">
      <alignment horizontal="center"/>
    </xf>
    <xf numFmtId="43" fontId="6" fillId="5" borderId="0" xfId="1" applyNumberFormat="1" applyFont="1" applyFill="1" applyAlignment="1">
      <alignment horizontal="center"/>
    </xf>
    <xf numFmtId="9" fontId="6" fillId="5" borderId="0" xfId="2" applyFont="1" applyFill="1" applyAlignment="1">
      <alignment horizontal="center"/>
    </xf>
    <xf numFmtId="0" fontId="6" fillId="5" borderId="0" xfId="0" applyFont="1" applyFill="1" applyAlignment="1">
      <alignment horizontal="center"/>
    </xf>
    <xf numFmtId="0" fontId="6" fillId="5" borderId="0" xfId="0" applyFont="1" applyFill="1"/>
    <xf numFmtId="43" fontId="14" fillId="2" borderId="0" xfId="0" applyNumberFormat="1" applyFont="1" applyFill="1" applyAlignment="1">
      <alignment vertical="center"/>
    </xf>
    <xf numFmtId="0" fontId="2" fillId="4" borderId="0" xfId="0" applyFont="1" applyFill="1" applyAlignment="1">
      <alignment horizontal="centerContinuous" vertical="center"/>
    </xf>
    <xf numFmtId="169" fontId="2" fillId="0" borderId="1" xfId="0" applyNumberFormat="1" applyFont="1" applyBorder="1" applyAlignment="1">
      <alignment horizontal="center" vertical="center"/>
    </xf>
    <xf numFmtId="10" fontId="2" fillId="0" borderId="4" xfId="0" applyNumberFormat="1" applyFont="1" applyBorder="1" applyAlignment="1">
      <alignment vertical="center"/>
    </xf>
    <xf numFmtId="37" fontId="2" fillId="10" borderId="0" xfId="0" applyNumberFormat="1" applyFont="1" applyFill="1" applyAlignment="1">
      <alignment horizontal="center" vertical="center"/>
    </xf>
    <xf numFmtId="178" fontId="2" fillId="0" borderId="0" xfId="0" applyNumberFormat="1" applyFont="1" applyAlignment="1">
      <alignment horizontal="center" vertical="center"/>
    </xf>
    <xf numFmtId="0" fontId="4" fillId="0" borderId="0" xfId="0" applyFont="1" applyAlignment="1">
      <alignment horizontal="center" vertical="center"/>
    </xf>
    <xf numFmtId="10" fontId="2" fillId="0" borderId="0" xfId="0" applyNumberFormat="1" applyFont="1" applyBorder="1" applyAlignment="1">
      <alignment vertical="center"/>
    </xf>
    <xf numFmtId="43" fontId="2" fillId="0" borderId="0" xfId="1" applyFont="1" applyBorder="1" applyAlignment="1">
      <alignment vertical="center"/>
    </xf>
    <xf numFmtId="43" fontId="2" fillId="0" borderId="0" xfId="0" applyNumberFormat="1" applyFont="1" applyBorder="1" applyAlignment="1">
      <alignment vertical="center"/>
    </xf>
    <xf numFmtId="10" fontId="2" fillId="0" borderId="0" xfId="2" applyNumberFormat="1" applyFont="1" applyBorder="1" applyAlignment="1">
      <alignment vertical="center"/>
    </xf>
    <xf numFmtId="43" fontId="4" fillId="0" borderId="0" xfId="1" applyFont="1" applyBorder="1" applyAlignment="1">
      <alignment vertical="center"/>
    </xf>
    <xf numFmtId="43" fontId="4" fillId="0" borderId="2" xfId="1" applyFont="1" applyBorder="1" applyAlignment="1">
      <alignment vertical="center"/>
    </xf>
    <xf numFmtId="43" fontId="2" fillId="0" borderId="2" xfId="1" applyFont="1" applyBorder="1" applyAlignment="1">
      <alignment vertical="center"/>
    </xf>
    <xf numFmtId="43" fontId="6" fillId="0" borderId="0" xfId="1" applyFont="1" applyBorder="1" applyAlignment="1">
      <alignment vertical="center"/>
    </xf>
    <xf numFmtId="10" fontId="6" fillId="0" borderId="0" xfId="0" applyNumberFormat="1" applyFont="1" applyBorder="1" applyAlignment="1">
      <alignment vertical="center"/>
    </xf>
    <xf numFmtId="8" fontId="6" fillId="0" borderId="0" xfId="0" applyNumberFormat="1" applyFont="1" applyBorder="1" applyAlignment="1">
      <alignment vertical="center"/>
    </xf>
    <xf numFmtId="0" fontId="4" fillId="0" borderId="0" xfId="0" applyFont="1" applyAlignment="1">
      <alignment horizontal="center"/>
    </xf>
    <xf numFmtId="0" fontId="2" fillId="0" borderId="0" xfId="0" applyFont="1" applyAlignment="1">
      <alignment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0000FF"/>
      <color rgb="FFFAE9C8"/>
      <color rgb="FF844896"/>
      <color rgb="FF00FF00"/>
      <color rgb="FFFAE900"/>
      <color rgb="FF8448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773762967560144E-2"/>
          <c:y val="0.15159688258114989"/>
          <c:w val="0.88052169460418606"/>
          <c:h val="0.7936679791120046"/>
        </c:manualLayout>
      </c:layout>
      <c:barChart>
        <c:barDir val="bar"/>
        <c:grouping val="stacked"/>
        <c:varyColors val="0"/>
        <c:ser>
          <c:idx val="0"/>
          <c:order val="0"/>
          <c:tx>
            <c:strRef>
              <c:f>'EV Football Field'!$G$4</c:f>
              <c:strCache>
                <c:ptCount val="1"/>
                <c:pt idx="0">
                  <c:v>Low</c:v>
                </c:pt>
              </c:strCache>
            </c:strRef>
          </c:tx>
          <c:spPr>
            <a:noFill/>
            <a:ln>
              <a:noFill/>
            </a:ln>
            <a:effectLst/>
            <a:extLst>
              <a:ext uri="{909E8E84-426E-40DD-AFC4-6F175D3DCCD1}">
                <a14:hiddenFill xmlns:a14="http://schemas.microsoft.com/office/drawing/2010/main">
                  <a:solidFill>
                    <a:srgbClr val="4472C4"/>
                  </a:solidFill>
                </a14:hiddenFill>
              </a:ext>
              <a:ext uri="{91240B29-F687-4F45-9708-019B960494DF}">
                <a14:hiddenLine xmlns:a14="http://schemas.microsoft.com/office/drawing/2010/main">
                  <a:noFill/>
                </a14:hiddenLine>
              </a:ext>
            </a:extLst>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Football Field'!$F$5:$F$9</c:f>
              <c:strCache>
                <c:ptCount val="5"/>
                <c:pt idx="0">
                  <c:v>DCF</c:v>
                </c:pt>
                <c:pt idx="1">
                  <c:v>EV/ NTM EBITDA</c:v>
                </c:pt>
                <c:pt idx="2">
                  <c:v>EV / NTM REV</c:v>
                </c:pt>
                <c:pt idx="3">
                  <c:v>EV/ NTM EBITDA</c:v>
                </c:pt>
                <c:pt idx="4">
                  <c:v>EV / NTM REV</c:v>
                </c:pt>
              </c:strCache>
            </c:strRef>
          </c:cat>
          <c:val>
            <c:numRef>
              <c:f>'EV Football Field'!$G$5:$G$9</c:f>
              <c:numCache>
                <c:formatCode>#,##0_);\(#,##0\)</c:formatCode>
                <c:ptCount val="5"/>
                <c:pt idx="0">
                  <c:v>1061.9121296867409</c:v>
                </c:pt>
                <c:pt idx="1">
                  <c:v>858.93523759378706</c:v>
                </c:pt>
                <c:pt idx="2">
                  <c:v>838.14105316116047</c:v>
                </c:pt>
                <c:pt idx="3">
                  <c:v>1516.5000000000002</c:v>
                </c:pt>
                <c:pt idx="4">
                  <c:v>1148.3699999999999</c:v>
                </c:pt>
              </c:numCache>
            </c:numRef>
          </c:val>
          <c:extLst>
            <c:ext xmlns:c16="http://schemas.microsoft.com/office/drawing/2014/chart" uri="{C3380CC4-5D6E-409C-BE32-E72D297353CC}">
              <c16:uniqueId val="{00000000-6047-CC4E-8F58-442DF05B0919}"/>
            </c:ext>
          </c:extLst>
        </c:ser>
        <c:ser>
          <c:idx val="1"/>
          <c:order val="1"/>
          <c:tx>
            <c:strRef>
              <c:f>'EV Football Field'!$I$4</c:f>
              <c:strCache>
                <c:ptCount val="1"/>
                <c:pt idx="0">
                  <c:v>Delta</c:v>
                </c:pt>
              </c:strCache>
            </c:strRef>
          </c:tx>
          <c:spPr>
            <a:solidFill>
              <a:srgbClr val="844896"/>
            </a:solidFill>
          </c:spPr>
          <c:invertIfNegative val="0"/>
          <c:cat>
            <c:strRef>
              <c:f>'EV Football Field'!$F$5:$F$9</c:f>
              <c:strCache>
                <c:ptCount val="5"/>
                <c:pt idx="0">
                  <c:v>DCF</c:v>
                </c:pt>
                <c:pt idx="1">
                  <c:v>EV/ NTM EBITDA</c:v>
                </c:pt>
                <c:pt idx="2">
                  <c:v>EV / NTM REV</c:v>
                </c:pt>
                <c:pt idx="3">
                  <c:v>EV/ NTM EBITDA</c:v>
                </c:pt>
                <c:pt idx="4">
                  <c:v>EV / NTM REV</c:v>
                </c:pt>
              </c:strCache>
            </c:strRef>
          </c:cat>
          <c:val>
            <c:numRef>
              <c:f>'EV Football Field'!$I$5:$I$9</c:f>
              <c:numCache>
                <c:formatCode>#,##0_);\(#,##0\)</c:formatCode>
                <c:ptCount val="5"/>
                <c:pt idx="0">
                  <c:v>18.156274094661512</c:v>
                </c:pt>
                <c:pt idx="1">
                  <c:v>662.83038740621316</c:v>
                </c:pt>
                <c:pt idx="2">
                  <c:v>250.45451224903923</c:v>
                </c:pt>
                <c:pt idx="3">
                  <c:v>227.47499999999991</c:v>
                </c:pt>
                <c:pt idx="4">
                  <c:v>231.19000000000005</c:v>
                </c:pt>
              </c:numCache>
            </c:numRef>
          </c:val>
          <c:extLst>
            <c:ext xmlns:c16="http://schemas.microsoft.com/office/drawing/2014/chart" uri="{C3380CC4-5D6E-409C-BE32-E72D297353CC}">
              <c16:uniqueId val="{00000001-6047-CC4E-8F58-442DF05B0919}"/>
            </c:ext>
          </c:extLst>
        </c:ser>
        <c:ser>
          <c:idx val="2"/>
          <c:order val="2"/>
          <c:tx>
            <c:strRef>
              <c:f>'EV Football Field'!$H$4</c:f>
              <c:strCache>
                <c:ptCount val="1"/>
                <c:pt idx="0">
                  <c:v>High</c:v>
                </c:pt>
              </c:strCache>
            </c:strRef>
          </c:tx>
          <c:spPr>
            <a:noFill/>
            <a:ln>
              <a:noFill/>
            </a:ln>
            <a:effectLst/>
            <a:extLst>
              <a:ext uri="{909E8E84-426E-40DD-AFC4-6F175D3DCCD1}">
                <a14:hiddenFill xmlns:a14="http://schemas.microsoft.com/office/drawing/2010/main">
                  <a:solidFill>
                    <a:srgbClr val="A5A5A5"/>
                  </a:solidFill>
                </a14:hiddenFill>
              </a:ext>
              <a:ext uri="{91240B29-F687-4F45-9708-019B960494DF}">
                <a14:hiddenLine xmlns:a14="http://schemas.microsoft.com/office/drawing/2010/main">
                  <a:noFill/>
                </a14:hiddenLine>
              </a:ext>
            </a:extLst>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Football Field'!$F$5:$F$9</c:f>
              <c:strCache>
                <c:ptCount val="5"/>
                <c:pt idx="0">
                  <c:v>DCF</c:v>
                </c:pt>
                <c:pt idx="1">
                  <c:v>EV/ NTM EBITDA</c:v>
                </c:pt>
                <c:pt idx="2">
                  <c:v>EV / NTM REV</c:v>
                </c:pt>
                <c:pt idx="3">
                  <c:v>EV/ NTM EBITDA</c:v>
                </c:pt>
                <c:pt idx="4">
                  <c:v>EV / NTM REV</c:v>
                </c:pt>
              </c:strCache>
            </c:strRef>
          </c:cat>
          <c:val>
            <c:numRef>
              <c:f>'EV Football Field'!$H$5:$H$9</c:f>
              <c:numCache>
                <c:formatCode>#,##0_);\(#,##0\)</c:formatCode>
                <c:ptCount val="5"/>
                <c:pt idx="0">
                  <c:v>1080.0684037814024</c:v>
                </c:pt>
                <c:pt idx="1">
                  <c:v>1521.7656250000002</c:v>
                </c:pt>
                <c:pt idx="2">
                  <c:v>1088.5955654101997</c:v>
                </c:pt>
                <c:pt idx="3">
                  <c:v>1743.9750000000001</c:v>
                </c:pt>
                <c:pt idx="4">
                  <c:v>1379.56</c:v>
                </c:pt>
              </c:numCache>
            </c:numRef>
          </c:val>
          <c:extLst>
            <c:ext xmlns:c16="http://schemas.microsoft.com/office/drawing/2014/chart" uri="{C3380CC4-5D6E-409C-BE32-E72D297353CC}">
              <c16:uniqueId val="{00000002-6047-CC4E-8F58-442DF05B0919}"/>
            </c:ext>
          </c:extLst>
        </c:ser>
        <c:dLbls>
          <c:showLegendKey val="0"/>
          <c:showVal val="0"/>
          <c:showCatName val="0"/>
          <c:showSerName val="0"/>
          <c:showPercent val="0"/>
          <c:showBubbleSize val="0"/>
        </c:dLbls>
        <c:gapWidth val="30"/>
        <c:overlap val="100"/>
        <c:axId val="1931732000"/>
        <c:axId val="1556478879"/>
      </c:barChart>
      <c:scatterChart>
        <c:scatterStyle val="lineMarker"/>
        <c:varyColors val="0"/>
        <c:ser>
          <c:idx val="3"/>
          <c:order val="3"/>
          <c:tx>
            <c:strRef>
              <c:f>'EV Football Field'!$K$4</c:f>
              <c:strCache>
                <c:ptCount val="1"/>
                <c:pt idx="0">
                  <c:v>Average</c:v>
                </c:pt>
              </c:strCache>
            </c:strRef>
          </c:tx>
          <c:spPr>
            <a:ln>
              <a:solidFill>
                <a:srgbClr val="FFC000"/>
              </a:solidFill>
              <a:prstDash val="solid"/>
            </a:ln>
          </c:spPr>
          <c:marker>
            <c:symbol val="none"/>
          </c:marker>
          <c:dLbls>
            <c:dLbl>
              <c:idx val="0"/>
              <c:tx>
                <c:rich>
                  <a:bodyPr/>
                  <a:lstStyle/>
                  <a:p>
                    <a:fld id="{2E641626-B14C-A344-B746-338A0C1A6591}"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6047-CC4E-8F58-442DF05B0919}"/>
                </c:ext>
              </c:extLst>
            </c:dLbl>
            <c:dLbl>
              <c:idx val="1"/>
              <c:layout>
                <c:manualLayout>
                  <c:x val="5.5597537452274221E-3"/>
                  <c:y val="0.75507280682160416"/>
                </c:manualLayout>
              </c:layout>
              <c:tx>
                <c:rich>
                  <a:bodyPr/>
                  <a:lstStyle/>
                  <a:p>
                    <a:fld id="{4D3D2DC0-8BA7-8044-A942-F7A7BFAF174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6047-CC4E-8F58-442DF05B0919}"/>
                </c:ext>
              </c:extLst>
            </c:dLbl>
            <c:spPr>
              <a:noFill/>
              <a:ln>
                <a:noFill/>
              </a:ln>
              <a:effectLst/>
            </c:spPr>
            <c:txPr>
              <a:bodyPr wrap="square" lIns="38100" tIns="19050" rIns="38100" bIns="19050" anchor="ctr">
                <a:spAutoFit/>
              </a:bodyPr>
              <a:lstStyle/>
              <a:p>
                <a:pPr>
                  <a:defRPr b="1">
                    <a:solidFill>
                      <a:srgbClr val="FFC000"/>
                    </a:solidFill>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'EV Football Field'!$K$5:$K$6</c:f>
              <c:numCache>
                <c:formatCode>#,##0_);\(#,##0\)</c:formatCode>
                <c:ptCount val="2"/>
                <c:pt idx="0">
                  <c:v>1223.7823014633291</c:v>
                </c:pt>
                <c:pt idx="1">
                  <c:v>1223.7823014633291</c:v>
                </c:pt>
              </c:numCache>
            </c:numRef>
          </c:xVal>
          <c:yVal>
            <c:numLit>
              <c:formatCode>General</c:formatCode>
              <c:ptCount val="2"/>
              <c:pt idx="0">
                <c:v>0</c:v>
              </c:pt>
              <c:pt idx="1">
                <c:v>1</c:v>
              </c:pt>
            </c:numLit>
          </c:yVal>
          <c:smooth val="0"/>
          <c:extLst>
            <c:ext xmlns:c15="http://schemas.microsoft.com/office/drawing/2012/chart" uri="{02D57815-91ED-43cb-92C2-25804820EDAC}">
              <c15:datalabelsRange>
                <c15:f>'EV Football Field'!$N$5:$N$6</c15:f>
                <c15:dlblRangeCache>
                  <c:ptCount val="2"/>
                  <c:pt idx="1">
                    <c:v>Average $1223.78</c:v>
                  </c:pt>
                </c15:dlblRangeCache>
              </c15:datalabelsRange>
            </c:ext>
            <c:ext xmlns:c16="http://schemas.microsoft.com/office/drawing/2014/chart" uri="{C3380CC4-5D6E-409C-BE32-E72D297353CC}">
              <c16:uniqueId val="{00000005-6047-CC4E-8F58-442DF05B0919}"/>
            </c:ext>
          </c:extLst>
        </c:ser>
        <c:ser>
          <c:idx val="4"/>
          <c:order val="4"/>
          <c:tx>
            <c:strRef>
              <c:f>'EV Football Field'!$L$4</c:f>
              <c:strCache>
                <c:ptCount val="1"/>
                <c:pt idx="0">
                  <c:v>Median</c:v>
                </c:pt>
              </c:strCache>
            </c:strRef>
          </c:tx>
          <c:spPr>
            <a:ln>
              <a:solidFill>
                <a:srgbClr val="FFC000"/>
              </a:solidFill>
              <a:prstDash val="solid"/>
            </a:ln>
          </c:spPr>
          <c:marker>
            <c:symbol val="none"/>
          </c:marker>
          <c:dLbls>
            <c:dLbl>
              <c:idx val="0"/>
              <c:tx>
                <c:rich>
                  <a:bodyPr/>
                  <a:lstStyle/>
                  <a:p>
                    <a:fld id="{8B6B756D-1C8E-3C4D-8026-BB4DB8B37B0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047-CC4E-8F58-442DF05B0919}"/>
                </c:ext>
              </c:extLst>
            </c:dLbl>
            <c:dLbl>
              <c:idx val="1"/>
              <c:layout>
                <c:manualLayout>
                  <c:x val="-8.2550887980957915E-2"/>
                  <c:y val="4.5868908825611433E-2"/>
                </c:manualLayout>
              </c:layout>
              <c:tx>
                <c:rich>
                  <a:bodyPr/>
                  <a:lstStyle/>
                  <a:p>
                    <a:fld id="{7907043E-3817-F940-9B43-51F4900F8D1C}"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6047-CC4E-8F58-442DF05B0919}"/>
                </c:ext>
              </c:extLst>
            </c:dLbl>
            <c:spPr>
              <a:noFill/>
              <a:ln>
                <a:noFill/>
              </a:ln>
              <a:effectLst/>
            </c:spPr>
            <c:txPr>
              <a:bodyPr wrap="square" lIns="38100" tIns="19050" rIns="38100" bIns="19050" anchor="ctr">
                <a:spAutoFit/>
              </a:bodyPr>
              <a:lstStyle/>
              <a:p>
                <a:pPr>
                  <a:defRPr b="1">
                    <a:solidFill>
                      <a:srgbClr val="FFC000"/>
                    </a:solidFill>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'EV Football Field'!$L$5:$L$6</c:f>
              <c:numCache>
                <c:formatCode>#,##0_);\(#,##0\)</c:formatCode>
                <c:ptCount val="2"/>
                <c:pt idx="0">
                  <c:v>1070.9902667340716</c:v>
                </c:pt>
                <c:pt idx="1">
                  <c:v>1070.9902667340716</c:v>
                </c:pt>
              </c:numCache>
            </c:numRef>
          </c:xVal>
          <c:yVal>
            <c:numLit>
              <c:formatCode>General</c:formatCode>
              <c:ptCount val="2"/>
              <c:pt idx="0">
                <c:v>0</c:v>
              </c:pt>
              <c:pt idx="1">
                <c:v>1</c:v>
              </c:pt>
            </c:numLit>
          </c:yVal>
          <c:smooth val="0"/>
          <c:extLst>
            <c:ext xmlns:c15="http://schemas.microsoft.com/office/drawing/2012/chart" uri="{02D57815-91ED-43cb-92C2-25804820EDAC}">
              <c15:datalabelsRange>
                <c15:f>'EV Football Field'!$O$5:$O$6</c15:f>
                <c15:dlblRangeCache>
                  <c:ptCount val="2"/>
                  <c:pt idx="1">
                    <c:v>Median $1070.99</c:v>
                  </c:pt>
                </c15:dlblRangeCache>
              </c15:datalabelsRange>
            </c:ext>
            <c:ext xmlns:c16="http://schemas.microsoft.com/office/drawing/2014/chart" uri="{C3380CC4-5D6E-409C-BE32-E72D297353CC}">
              <c16:uniqueId val="{00000008-6047-CC4E-8F58-442DF05B0919}"/>
            </c:ext>
          </c:extLst>
        </c:ser>
        <c:ser>
          <c:idx val="5"/>
          <c:order val="5"/>
          <c:tx>
            <c:strRef>
              <c:f>'EV Football Field'!$M$4</c:f>
              <c:strCache>
                <c:ptCount val="1"/>
                <c:pt idx="0">
                  <c:v>Bonus</c:v>
                </c:pt>
              </c:strCache>
            </c:strRef>
          </c:tx>
          <c:spPr>
            <a:ln>
              <a:solidFill>
                <a:srgbClr val="FFC000"/>
              </a:solidFill>
              <a:prstDash val="solid"/>
            </a:ln>
          </c:spPr>
          <c:marker>
            <c:symbol val="none"/>
          </c:marker>
          <c:dLbls>
            <c:dLbl>
              <c:idx val="0"/>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6047-CC4E-8F58-442DF05B0919}"/>
                </c:ext>
              </c:extLst>
            </c:dLbl>
            <c:dLbl>
              <c:idx val="1"/>
              <c:tx>
                <c:rich>
                  <a:bodyPr/>
                  <a:lstStyle/>
                  <a:p>
                    <a:endParaRPr lang="en-US"/>
                  </a:p>
                </c:rich>
              </c:tx>
              <c:dLblPos val="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6047-CC4E-8F58-442DF05B0919}"/>
                </c:ext>
              </c:extLst>
            </c:dLbl>
            <c:spPr>
              <a:noFill/>
              <a:ln>
                <a:noFill/>
              </a:ln>
              <a:effectLst/>
            </c:spPr>
            <c:txPr>
              <a:bodyPr wrap="square" lIns="38100" tIns="19050" rIns="38100" bIns="19050" anchor="ctr">
                <a:spAutoFit/>
              </a:bodyPr>
              <a:lstStyle/>
              <a:p>
                <a:pPr>
                  <a:defRPr b="1">
                    <a:solidFill>
                      <a:srgbClr val="FFC000"/>
                    </a:solidFill>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'EV Football Field'!$M$5:$M$6</c:f>
              <c:numCache>
                <c:formatCode>#,##0_);\(#,##0\)</c:formatCode>
                <c:ptCount val="2"/>
                <c:pt idx="0">
                  <c:v>#N/A</c:v>
                </c:pt>
                <c:pt idx="1">
                  <c:v>#N/A</c:v>
                </c:pt>
              </c:numCache>
            </c:numRef>
          </c:xVal>
          <c:yVal>
            <c:numLit>
              <c:formatCode>General</c:formatCode>
              <c:ptCount val="2"/>
              <c:pt idx="0">
                <c:v>0</c:v>
              </c:pt>
              <c:pt idx="1">
                <c:v>1</c:v>
              </c:pt>
            </c:numLit>
          </c:yVal>
          <c:smooth val="0"/>
          <c:extLst>
            <c:ext xmlns:c15="http://schemas.microsoft.com/office/drawing/2012/chart" uri="{02D57815-91ED-43cb-92C2-25804820EDAC}">
              <c15:datalabelsRange>
                <c15:f>'EV Football Field'!$P$5:$P$6</c15:f>
                <c15:dlblRangeCache>
                  <c:ptCount val="2"/>
                  <c:pt idx="1">
                    <c:v>#N/A</c:v>
                  </c:pt>
                </c15:dlblRangeCache>
              </c15:datalabelsRange>
            </c:ext>
            <c:ext xmlns:c16="http://schemas.microsoft.com/office/drawing/2014/chart" uri="{C3380CC4-5D6E-409C-BE32-E72D297353CC}">
              <c16:uniqueId val="{0000000B-6047-CC4E-8F58-442DF05B0919}"/>
            </c:ext>
          </c:extLst>
        </c:ser>
        <c:dLbls>
          <c:showLegendKey val="0"/>
          <c:showVal val="0"/>
          <c:showCatName val="0"/>
          <c:showSerName val="0"/>
          <c:showPercent val="0"/>
          <c:showBubbleSize val="0"/>
        </c:dLbls>
        <c:axId val="1798447184"/>
        <c:axId val="1798438256"/>
      </c:scatterChart>
      <c:catAx>
        <c:axId val="1931732000"/>
        <c:scaling>
          <c:orientation val="minMax"/>
        </c:scaling>
        <c:delete val="0"/>
        <c:axPos val="l"/>
        <c:numFmt formatCode="General" sourceLinked="1"/>
        <c:majorTickMark val="out"/>
        <c:minorTickMark val="none"/>
        <c:tickLblPos val="nextTo"/>
        <c:crossAx val="1556478879"/>
        <c:crosses val="autoZero"/>
        <c:auto val="1"/>
        <c:lblAlgn val="ctr"/>
        <c:lblOffset val="100"/>
        <c:noMultiLvlLbl val="0"/>
      </c:catAx>
      <c:valAx>
        <c:axId val="1556478879"/>
        <c:scaling>
          <c:orientation val="minMax"/>
          <c:max val="2000"/>
        </c:scaling>
        <c:delete val="0"/>
        <c:axPos val="t"/>
        <c:numFmt formatCode="#,##0_);\(#,##0\)" sourceLinked="1"/>
        <c:majorTickMark val="none"/>
        <c:minorTickMark val="none"/>
        <c:tickLblPos val="nextTo"/>
        <c:crossAx val="1931732000"/>
        <c:crosses val="max"/>
        <c:crossBetween val="between"/>
        <c:majorUnit val="1000"/>
      </c:valAx>
      <c:valAx>
        <c:axId val="1798438256"/>
        <c:scaling>
          <c:orientation val="minMax"/>
          <c:max val="1"/>
          <c:min val="0"/>
        </c:scaling>
        <c:delete val="1"/>
        <c:axPos val="r"/>
        <c:numFmt formatCode="General" sourceLinked="1"/>
        <c:majorTickMark val="out"/>
        <c:minorTickMark val="none"/>
        <c:tickLblPos val="nextTo"/>
        <c:crossAx val="1798447184"/>
        <c:crosses val="max"/>
        <c:crossBetween val="midCat"/>
      </c:valAx>
      <c:valAx>
        <c:axId val="1798447184"/>
        <c:scaling>
          <c:orientation val="minMax"/>
        </c:scaling>
        <c:delete val="1"/>
        <c:axPos val="b"/>
        <c:numFmt formatCode="#,##0_);\(#,##0\)" sourceLinked="1"/>
        <c:majorTickMark val="out"/>
        <c:minorTickMark val="none"/>
        <c:tickLblPos val="nextTo"/>
        <c:crossAx val="1798438256"/>
        <c:crosses val="autoZero"/>
        <c:crossBetween val="midCat"/>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6350" cap="flat" cmpd="sng" algn="ctr">
      <a:noFill/>
      <a:prstDash val="solid"/>
      <a:round/>
    </a:ln>
    <a:effectLst/>
    <a:extLs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printSettings>
    <c:headerFooter/>
    <c:pageMargins b="0.75" l="0.7" r="0.7" t="0.75" header="0.3" footer="0.3"/>
    <c:pageSetup/>
  </c:printSettings>
</c:chartSpace>
</file>

<file path=xl/ctrlProps/ctrlProp1.xml><?xml version="1.0" encoding="utf-8"?>
<formControlPr xmlns="http://schemas.microsoft.com/office/spreadsheetml/2009/9/main" objectType="CheckBox" checked="Checked" fmlaLink="B7" lockText="1" noThreeD="1"/>
</file>

<file path=xl/ctrlProps/ctrlProp2.xml><?xml version="1.0" encoding="utf-8"?>
<formControlPr xmlns="http://schemas.microsoft.com/office/spreadsheetml/2009/9/main" objectType="CheckBox" checked="Checked" fmlaLink="B8" lockText="1" noThreeD="1"/>
</file>

<file path=xl/ctrlProps/ctrlProp3.xml><?xml version="1.0" encoding="utf-8"?>
<formControlPr xmlns="http://schemas.microsoft.com/office/spreadsheetml/2009/9/main" objectType="CheckBox" fmlaLink="B9" lockText="1" noThreeD="1"/>
</file>

<file path=xl/ctrlProps/ctrlProp4.xml><?xml version="1.0" encoding="utf-8"?>
<formControlPr xmlns="http://schemas.microsoft.com/office/spreadsheetml/2009/9/main" objectType="CheckBox" checked="Checked" fmlaLink="C7" lockText="1" noThreeD="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109753</xdr:colOff>
      <xdr:row>20</xdr:row>
      <xdr:rowOff>42021</xdr:rowOff>
    </xdr:from>
    <xdr:to>
      <xdr:col>21</xdr:col>
      <xdr:colOff>203646</xdr:colOff>
      <xdr:row>40</xdr:row>
      <xdr:rowOff>154629</xdr:rowOff>
    </xdr:to>
    <xdr:graphicFrame macro="">
      <xdr:nvGraphicFramePr>
        <xdr:cNvPr id="2" name="Chart 1">
          <a:extLst>
            <a:ext uri="{FF2B5EF4-FFF2-40B4-BE49-F238E27FC236}">
              <a16:creationId xmlns:a16="http://schemas.microsoft.com/office/drawing/2014/main" id="{D84BB175-31FE-B446-BFE5-BAF3BB44E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3420</xdr:colOff>
          <xdr:row>7</xdr:row>
          <xdr:rowOff>28379</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686F6CEE-220C-AA4F-A04C-932B42675638}"/>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FFFFFF"/>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Average 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3420</xdr:colOff>
          <xdr:row>8</xdr:row>
          <xdr:rowOff>28379</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307A4253-13B5-FC4C-B7C1-9CA4B8E727A3}"/>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FFFFFF"/>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Median 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3420</xdr:colOff>
          <xdr:row>9</xdr:row>
          <xdr:rowOff>28379</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1A41F61-6C1A-164C-8E72-5A575F684D19}"/>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FFFFFF"/>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Bonus 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4</xdr:col>
          <xdr:colOff>360617</xdr:colOff>
          <xdr:row>7</xdr:row>
          <xdr:rowOff>28379</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9B3FF1FB-3528-DE49-8163-5ADCEB9C5839}"/>
                </a:ext>
              </a:extLst>
            </xdr:cNvPr>
            <xdr:cNvSpPr/>
          </xdr:nvSpPr>
          <xdr:spPr bwMode="auto">
            <a:xfrm>
              <a:off x="0" y="0"/>
              <a:ext cx="0" cy="0"/>
            </a:xfrm>
            <a:prstGeom prst="rect">
              <a:avLst/>
            </a:prstGeom>
            <a:noFill/>
            <a:ln>
              <a:noFill/>
            </a:ln>
            <a:extLst>
              <a:ext uri="{909E8E84-426E-40DD-AFC4-6F175D3DCCD1}">
                <a14:hiddenFill>
                  <a:solidFill>
                    <a:srgbClr val="000000"/>
                  </a:solidFill>
                </a14:hiddenFill>
              </a:ext>
              <a:ext uri="{91240B29-F687-4F45-9708-019B960494DF}">
                <a14:hiddenLine w="9525">
                  <a:solidFill>
                    <a:srgbClr val="FFFFFF"/>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Show label(s)</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gowustl-my.sharepoint.com/personal/rohanr_wustl_edu/Documents/Ethan%20Allen%20Valuation_Updated.xlsx" TargetMode="External"/><Relationship Id="rId1" Type="http://schemas.openxmlformats.org/officeDocument/2006/relationships/externalLinkPath" Target="https://gowustl-my.sharepoint.com/personal/rohanr_wustl_edu/Documents/Ethan%20Allen%20Valuation_Updated.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eer%20Group"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eveloping%20Store"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5bd0473b6e134e91/Desktop/Spring%202023/Security%20Analysis/Sector%20Overview%20Presentation/Sector%20Overview%20Presentation.xlsx" TargetMode="External"/><Relationship Id="rId1" Type="http://schemas.openxmlformats.org/officeDocument/2006/relationships/externalLinkPath" Target="https://d.docs.live.net/5bd0473b6e134e91/Desktop/Spring%202023/Security%20Analysis/Sector%20Overview%20Presentation/Sector%20Overview%20Presentat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BARON~1/AppData/Local/Temp/notesF3B52A/SL%20-%20Determine%20audit%20strategy%20and%20plan%20-%2011062014.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forde004/AppData/Local/Aura/6.0/Files/14/AF/75bafc15-a1dc-46f9-b1ff-fe6db048b4e0000000000000000001126254/75bafc15-a1dc-46f9-b1ff-fe6db048b4e0.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mbaron004/Documents/Methodology/Base%20car/Canada/Work%20to%20be%20done/2014%20IFRS%20PPE%20Templates/20140328%20-%20Test%20additions%20-%20Property,%20plant%20and%20equipment%20(wToD2014a)(IFR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katayon.ghassemi/AppData/Local/Microsoft/Windows/INetCache/Content.Outlook/ZHIRP3ZR/Project%20Emerald%20-%20FDD%20Datapack%2016.11.202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pwcgbr.sharepoint.com/sites/GB-ADV-Project%20Emerald%202021/Shared%20Documents/Project%20Emerald%20-%20NPP%20Dealtool%2012.11.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TD IS"/>
      <sheetName val="ETD BS"/>
      <sheetName val="ETD CF"/>
      <sheetName val="ETD Ratios"/>
      <sheetName val="Price Summary (Seasonality)"/>
      <sheetName val="Stores"/>
      <sheetName val="Dividends"/>
      <sheetName val="Beta"/>
      <sheetName val="ETD Model"/>
      <sheetName val="ETD vs Market 1y"/>
      <sheetName val="ETD vs Industry 1y"/>
      <sheetName val="ETD vs Industry 5y"/>
      <sheetName val="ETD vs Market 5y"/>
      <sheetName val="Comps"/>
      <sheetName val="EV Football Field"/>
      <sheetName val="Share Price Football Field"/>
      <sheetName val="Market Share"/>
      <sheetName val="Charts (Ext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0">
          <cell r="C20" t="str">
            <v>Low</v>
          </cell>
          <cell r="D20" t="str">
            <v>High</v>
          </cell>
          <cell r="E20" t="str">
            <v>Delta</v>
          </cell>
          <cell r="G20" t="str">
            <v>Average</v>
          </cell>
          <cell r="H20" t="str">
            <v>Median</v>
          </cell>
          <cell r="I20" t="str">
            <v>Bonus</v>
          </cell>
        </row>
        <row r="21">
          <cell r="B21" t="str">
            <v>DCF</v>
          </cell>
          <cell r="C21">
            <v>675.39150218145767</v>
          </cell>
          <cell r="D21">
            <v>844.79271298852859</v>
          </cell>
          <cell r="E21">
            <v>169.40121080707092</v>
          </cell>
          <cell r="G21">
            <v>810.01016376571977</v>
          </cell>
          <cell r="H21" t="e">
            <v>#N/A</v>
          </cell>
          <cell r="I21" t="e">
            <v>#N/A</v>
          </cell>
        </row>
        <row r="22">
          <cell r="B22" t="str">
            <v>DDM</v>
          </cell>
          <cell r="C22">
            <v>778.92685425115644</v>
          </cell>
          <cell r="D22">
            <v>988.70213716615808</v>
          </cell>
          <cell r="E22">
            <v>209.77528291500164</v>
          </cell>
          <cell r="G22">
            <v>810.01016376571977</v>
          </cell>
          <cell r="H22" t="e">
            <v>#N/A</v>
          </cell>
          <cell r="I22" t="e">
            <v>#N/A</v>
          </cell>
        </row>
        <row r="23">
          <cell r="B23" t="str">
            <v>EV/EBITDA</v>
          </cell>
          <cell r="C23">
            <v>617.55305772670124</v>
          </cell>
          <cell r="D23">
            <v>1256.7201376312821</v>
          </cell>
          <cell r="E23">
            <v>639.16707990458087</v>
          </cell>
          <cell r="G23">
            <v>810.01016376571977</v>
          </cell>
          <cell r="H23" t="e">
            <v>#N/A</v>
          </cell>
          <cell r="I23" t="e">
            <v>#N/A</v>
          </cell>
          <cell r="J23" t="str">
            <v>Average $810.01</v>
          </cell>
          <cell r="K23" t="e">
            <v>#N/A</v>
          </cell>
          <cell r="L23" t="e">
            <v>#N/A</v>
          </cell>
        </row>
        <row r="24">
          <cell r="B24" t="str">
            <v>EV/Revenue</v>
          </cell>
          <cell r="C24">
            <v>480.67258555136902</v>
          </cell>
          <cell r="D24">
            <v>1374.1036877539775</v>
          </cell>
          <cell r="E24">
            <v>893.43110220260849</v>
          </cell>
        </row>
        <row r="25">
          <cell r="B25" t="str">
            <v>EV/EBITDA</v>
          </cell>
          <cell r="C25">
            <v>353.45206151895087</v>
          </cell>
          <cell r="D25">
            <v>746.77512335229108</v>
          </cell>
          <cell r="E25">
            <v>393.3230618333402</v>
          </cell>
        </row>
        <row r="26">
          <cell r="B26" t="str">
            <v>EV/Revenue</v>
          </cell>
          <cell r="C26">
            <v>423.45051992646557</v>
          </cell>
          <cell r="D26">
            <v>1179.5815851402992</v>
          </cell>
          <cell r="E26">
            <v>756.13106521383361</v>
          </cell>
        </row>
      </sheetData>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er Group"/>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ing Store"/>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_FDSCACHE__"/>
      <sheetName val="Index Highlights Template"/>
      <sheetName val="S&amp;P 1500 IT Index"/>
      <sheetName val="S&amp;P 1500 Index"/>
      <sheetName val="PSIF Industry Classifications"/>
      <sheetName val="PSIF Performance Chart"/>
      <sheetName val="Sector Thesis"/>
      <sheetName val="Fund Highlights Template"/>
      <sheetName val="IGV"/>
      <sheetName val="IXP"/>
      <sheetName val="VGT"/>
      <sheetName val="SOXX"/>
      <sheetName val="PEJ"/>
      <sheetName val="S&amp;P 1500 Data Pull"/>
      <sheetName val="NVIDIA Highlights"/>
      <sheetName val="META Highlights"/>
      <sheetName val="AAPL Highlights"/>
      <sheetName val="Fortinet Highlights"/>
      <sheetName val="CACI Highlights"/>
      <sheetName val="Taiwan Semi Highlights"/>
      <sheetName val="Company Highlights Template"/>
      <sheetName val="Micron Tech Highlights"/>
      <sheetName val="Intel Highlights Template"/>
      <sheetName val="Microsoft Highlights"/>
      <sheetName val="Tencent Highlights"/>
      <sheetName val="Salesforce Highlights"/>
      <sheetName val="Google Overview"/>
      <sheetName val="Adobe Overview"/>
      <sheetName val="Pinterest Highlights"/>
      <sheetName val="Oracle Highlights"/>
      <sheetName val="Nintendo Overview"/>
      <sheetName val="Warner Bros Highlights"/>
      <sheetName val="(PO) Comps Template"/>
      <sheetName val="Communications Comps"/>
      <sheetName val="IT &amp; IT Services Comps"/>
      <sheetName val="Semiconductor Comps"/>
      <sheetName val="Software Comps"/>
      <sheetName val="Entertainment Comps"/>
      <sheetName val="(PO) PE Outlook Template"/>
      <sheetName val="Entertainment PE Outlook"/>
      <sheetName val="Software PE Outlook"/>
      <sheetName val="IT &amp; IT Services PE Outlook"/>
      <sheetName val="Communications PE Outlook"/>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brary Procedures"/>
      <sheetName val="Planning meeting"/>
    </sheetNames>
    <sheetDataSet>
      <sheetData sheetId="0"/>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ibrary Procedures"/>
      <sheetName val="Library Procedures HfMT"/>
      <sheetName val="Movement schedule"/>
      <sheetName val="PPE Movement Schedule"/>
      <sheetName val="Fixed Asset Register"/>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brary Procedures"/>
      <sheetName val="Results Template"/>
      <sheetName val="ToD Template"/>
      <sheetName val="Menu Master"/>
      <sheetName val="Targeted Testing Master"/>
      <sheetName val="Non-Statistical Sampling Master"/>
      <sheetName val="Suppl Non-Stat Sample Master"/>
      <sheetName val="Two Step Revenue Testing Master"/>
      <sheetName val="Accept Reject Master"/>
      <sheetName val="First Sample Results Master"/>
      <sheetName val="Global Data"/>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refreshError="1"/>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Pack ID sht"/>
      <sheetName val="Front Cover"/>
      <sheetName val="Index"/>
      <sheetName val="Disclaimer"/>
      <sheetName val="Pages 9,13 &amp; 15"/>
      <sheetName val="Pages 8 &amp; 14"/>
      <sheetName val="Pages 9, 17 &amp; 18"/>
      <sheetName val="Page 20"/>
      <sheetName val="Pages 9 &amp; 19"/>
      <sheetName val="Pages 21 &amp; 22"/>
      <sheetName val="Page 23"/>
      <sheetName val="Page 24"/>
      <sheetName val="Pages 26, 27 &amp; 45"/>
      <sheetName val="Page 28"/>
      <sheetName val="Page 34"/>
      <sheetName val="Page 35"/>
      <sheetName val="Page 36"/>
      <sheetName val="Page 37"/>
      <sheetName val="Page 38"/>
      <sheetName val="Page 39"/>
      <sheetName val="Page 40"/>
      <sheetName val="Page 41"/>
      <sheetName val="Page 42 (CoS)"/>
      <sheetName val="Pages 8 &amp; 42 (Headcount)"/>
      <sheetName val="Page 43"/>
      <sheetName val="Page 42 (Avg. Salary)"/>
      <sheetName val="Page 43 (O.heads by type)"/>
      <sheetName val="Page 44"/>
      <sheetName val="Page 46"/>
      <sheetName val="Page 4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Info"/>
      <sheetName val="Index"/>
      <sheetName val="Summary schedules &gt;&gt;&gt;"/>
      <sheetName val="Illustrative Term Sheet Calcs"/>
      <sheetName val="Group &amp; Organisational Charts"/>
      <sheetName val="Revenue by region"/>
      <sheetName val="P&amp;L Analysis &gt;&gt;&gt;"/>
      <sheetName val="Summary P&amp;L"/>
      <sheetName val="AAG charts"/>
      <sheetName val="Quality of Earnings"/>
      <sheetName val="QOE Adjustments"/>
      <sheetName val="Outturn"/>
      <sheetName val="Revised Outturn"/>
      <sheetName val="Revised Outturn (Nov-21)"/>
      <sheetName val="Sep-21 Monthly YTD P&amp;L (27 Oct)"/>
      <sheetName val="Forecast P&amp;L (PwC) "/>
      <sheetName val="Forecast P&amp;L (Term sheet)"/>
      <sheetName val="Seasonality charts"/>
      <sheetName val="AAG"/>
      <sheetName val="Monthly revenue by customer"/>
      <sheetName val="F'cast revenue by customer"/>
      <sheetName val="Cost of sales"/>
      <sheetName val="Overheads"/>
      <sheetName val="External contractor &amp; Rent"/>
      <sheetName val="Sub-contractors (annual)"/>
      <sheetName val="Fixed vs. Variable Overheads"/>
      <sheetName val="Revenue Pipeline - Summary"/>
      <sheetName val="FY21F Revenue Bridge"/>
      <sheetName val="Revenue Pipeline Bridge FY22"/>
      <sheetName val="FY22F Sensitivity Analysis"/>
      <sheetName val="Stats (27 Oct-21)"/>
      <sheetName val="Forecast P&amp;L (25 Oct-21)"/>
      <sheetName val="2022 Forecast P&amp;L (25 Oct-21)"/>
      <sheetName val="Revenue Pipeline - Secured"/>
      <sheetName val="Revenue Pipeline - Qual&amp;Fcast"/>
      <sheetName val="P&amp;L Reconciliation to Stats"/>
      <sheetName val="Project Profitability &gt;&gt;&gt;"/>
      <sheetName val="Customer analysis"/>
      <sheetName val="Workings Customer Margins"/>
      <sheetName val="Summary Project Profitability"/>
      <sheetName val="Customer profitability summarie"/>
      <sheetName val="Project Identifier Check"/>
      <sheetName val="Win rate analysis - 2.05 &gt;&gt;&gt;"/>
      <sheetName val="Bid Number"/>
      <sheetName val="Bid By Closed Status"/>
      <sheetName val="Win % by Value"/>
      <sheetName val="Breakdown Bid Type"/>
      <sheetName val="Data export"/>
      <sheetName val="Staff analysis &gt;&gt;&gt;"/>
      <sheetName val="FTE mix at Aug-21"/>
      <sheetName val="Annual salary "/>
      <sheetName val="Monthly bill vs. non-bill perms"/>
      <sheetName val="BS Analysis &gt;&gt;&gt;"/>
      <sheetName val="Summary Balance Sheet"/>
      <sheetName val="Net working Capital"/>
      <sheetName val="Net debt"/>
      <sheetName val="Illustrative Cash Flow"/>
      <sheetName val="Debtor Ageing"/>
      <sheetName val="Creditor Ageing"/>
      <sheetName val="Accruals detail"/>
      <sheetName val="Monthly BS seasonality"/>
      <sheetName val="Accrued income"/>
      <sheetName val="Capex"/>
      <sheetName val="FY21 Committed cash outflows"/>
      <sheetName val="Forecast Cash Flow"/>
      <sheetName val="Fixed asset register"/>
      <sheetName val="Bank reconciliations"/>
      <sheetName val="Costs below EBITDA &amp; Equity Rol"/>
      <sheetName val="BS Reconciliation to Stats"/>
      <sheetName val="Summary Lease Schedule"/>
      <sheetName val="SOURCES &gt;&gt;&gt;"/>
      <sheetName val="BPE Margin by Project FY18-21"/>
      <sheetName val="Monthly Bill vs. Non-bill Staff"/>
      <sheetName val="Contractors - 2.09"/>
      <sheetName val="Annual Perm Employees - 1.07"/>
      <sheetName val="FY19 Sales Transactions - 2.02"/>
      <sheetName val="YTD21 Sales Transactions -2.02"/>
      <sheetName val="Customer PwC Mapping"/>
      <sheetName val="FY20 Sales transactions - 2.02"/>
      <sheetName val="Pipeline - Secured - 3.04"/>
      <sheetName val="Pipeline Weighted Fcast -3.04"/>
      <sheetName val="Pipeline - Qual&amp;Fcast - 3.04"/>
      <sheetName val="Cash Flow Forecast"/>
      <sheetName val="YTD21 Committed outflows - 6.05"/>
      <sheetName val="Perm Headcount &amp; costs - 1.07 "/>
      <sheetName val="FY20 - Capex - 6.03"/>
      <sheetName val="FY19 - Capex - 6.03"/>
      <sheetName val="YTD21 - Capex - 6.03"/>
      <sheetName val="YTD21 Accrued income - 3.02"/>
      <sheetName val="FY20 Accrued income - 3.02"/>
      <sheetName val="FY19 Accrued income - 3.02"/>
      <sheetName val="YTD21 - Aged creditors - 3.02"/>
      <sheetName val="FY20 - Aged creditors - 3.02"/>
      <sheetName val="FY19 - Aged creditors - 3.02"/>
      <sheetName val="YTD21 Aged debtors - 3.02"/>
      <sheetName val="FY20 Aged debtors - 3.02"/>
      <sheetName val="FY19 Aged debtors - 3.02"/>
      <sheetName val="FY21 P&amp;L (f'cast) -3.01"/>
      <sheetName val="Transactional BS - 1.03"/>
      <sheetName val="FY19 Revenue by customer -2.02"/>
      <sheetName val="FY20 Revenue by customer -2.02"/>
      <sheetName val="YTD21 Revenue by customer -2.02"/>
      <sheetName val="FY19 Fixed vs Variable - 2.13"/>
      <sheetName val="FY20 Fixed vs Variable - 2.13"/>
      <sheetName val="YTD21 Fixed vs Variable - 2.13"/>
      <sheetName val="Annual Subcontractors - 2.12"/>
      <sheetName val="FY19 - Vendor breakdown - 2.08"/>
      <sheetName val="FY20 - Vendor breakdown- 2.08"/>
      <sheetName val="YTD21 - Vendor breakdown - 2.08"/>
      <sheetName val="YTD-21 P&amp;L (per Mgmt acs) -1.03"/>
      <sheetName val="FY20 P&amp;L (per Mgmt accs) -2.02"/>
      <sheetName val="FY19 P&amp;L (per FS) -2.02"/>
      <sheetName val="Adjusted FY19 Monthly P&amp;L -2.0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AD7D7-5B23-A446-93AD-E4B0064A00B9}">
  <dimension ref="A2:K128"/>
  <sheetViews>
    <sheetView showGridLines="0" tabSelected="1" workbookViewId="0"/>
  </sheetViews>
  <sheetFormatPr baseColWidth="10" defaultRowHeight="14" x14ac:dyDescent="0.2"/>
  <cols>
    <col min="1" max="1" width="1.6640625" style="1" customWidth="1"/>
    <col min="2" max="2" width="28.1640625" style="6" bestFit="1" customWidth="1"/>
    <col min="3" max="3" width="9.5" style="6" bestFit="1" customWidth="1"/>
    <col min="4" max="10" width="10.83203125" style="6"/>
    <col min="11" max="11" width="1.6640625" style="6" customWidth="1"/>
    <col min="12" max="16384" width="10.83203125" style="6"/>
  </cols>
  <sheetData>
    <row r="2" spans="2:11" x14ac:dyDescent="0.2">
      <c r="B2" s="6" t="s">
        <v>4</v>
      </c>
      <c r="C2" s="7" t="s">
        <v>0</v>
      </c>
      <c r="D2" s="8"/>
      <c r="E2" s="8"/>
      <c r="F2" s="7" t="s">
        <v>1</v>
      </c>
      <c r="G2" s="7"/>
      <c r="H2" s="7"/>
      <c r="I2" s="7"/>
      <c r="J2" s="7"/>
    </row>
    <row r="3" spans="2:11" x14ac:dyDescent="0.2">
      <c r="B3" s="12" t="s">
        <v>25</v>
      </c>
      <c r="C3" s="85">
        <v>2022</v>
      </c>
      <c r="D3" s="6">
        <f>C3+1</f>
        <v>2023</v>
      </c>
      <c r="E3" s="6">
        <f t="shared" ref="E3:J3" si="0">D3+1</f>
        <v>2024</v>
      </c>
      <c r="F3" s="9">
        <f t="shared" si="0"/>
        <v>2025</v>
      </c>
      <c r="G3" s="9">
        <f t="shared" si="0"/>
        <v>2026</v>
      </c>
      <c r="H3" s="9">
        <f t="shared" si="0"/>
        <v>2027</v>
      </c>
      <c r="I3" s="9">
        <f t="shared" si="0"/>
        <v>2028</v>
      </c>
      <c r="J3" s="9">
        <f t="shared" si="0"/>
        <v>2029</v>
      </c>
    </row>
    <row r="4" spans="2:11" s="1" customFormat="1" ht="3" customHeight="1" x14ac:dyDescent="0.2">
      <c r="B4" s="10"/>
      <c r="C4" s="11"/>
      <c r="D4" s="10"/>
      <c r="E4" s="10"/>
      <c r="F4" s="10"/>
      <c r="G4" s="10"/>
      <c r="H4" s="10"/>
      <c r="I4" s="10"/>
      <c r="J4" s="10"/>
      <c r="K4" s="2"/>
    </row>
    <row r="5" spans="2:11" x14ac:dyDescent="0.2">
      <c r="B5" s="14" t="s">
        <v>2</v>
      </c>
      <c r="C5" s="14"/>
      <c r="D5" s="14"/>
      <c r="E5" s="14"/>
      <c r="F5" s="14"/>
      <c r="G5" s="14"/>
      <c r="H5" s="14"/>
      <c r="I5" s="14"/>
      <c r="J5" s="14"/>
    </row>
    <row r="6" spans="2:11" s="3" customFormat="1" ht="6" customHeight="1" x14ac:dyDescent="0.2">
      <c r="B6" s="4"/>
      <c r="C6" s="4"/>
      <c r="D6" s="4"/>
      <c r="E6" s="4"/>
      <c r="F6" s="4"/>
      <c r="G6" s="4"/>
      <c r="H6" s="4"/>
      <c r="I6" s="4"/>
      <c r="J6" s="4"/>
      <c r="K6" s="4"/>
    </row>
    <row r="7" spans="2:11" x14ac:dyDescent="0.2">
      <c r="B7" s="20" t="s">
        <v>3</v>
      </c>
      <c r="C7" s="15"/>
      <c r="D7" s="15"/>
      <c r="E7" s="15"/>
      <c r="F7" s="15"/>
      <c r="G7" s="15"/>
      <c r="H7" s="15"/>
      <c r="I7" s="15"/>
      <c r="J7" s="15"/>
    </row>
    <row r="8" spans="2:11" s="3" customFormat="1" ht="6" customHeight="1" x14ac:dyDescent="0.2">
      <c r="B8" s="4"/>
      <c r="C8" s="4"/>
      <c r="D8" s="4"/>
      <c r="E8" s="4"/>
      <c r="F8" s="4"/>
      <c r="G8" s="4"/>
      <c r="H8" s="4"/>
      <c r="I8" s="4"/>
      <c r="J8" s="4"/>
      <c r="K8" s="4"/>
    </row>
    <row r="9" spans="2:11" x14ac:dyDescent="0.2">
      <c r="B9" s="6" t="s">
        <v>7</v>
      </c>
      <c r="C9" s="87">
        <v>58</v>
      </c>
      <c r="D9" s="87">
        <v>79</v>
      </c>
      <c r="E9" s="87">
        <v>104</v>
      </c>
      <c r="F9" s="87">
        <v>131</v>
      </c>
      <c r="G9" s="87">
        <v>162</v>
      </c>
      <c r="H9" s="27">
        <f>H126</f>
        <v>189.11078911999999</v>
      </c>
      <c r="I9" s="27">
        <f>I126</f>
        <v>218.95647293439998</v>
      </c>
      <c r="J9" s="85"/>
    </row>
    <row r="10" spans="2:11" x14ac:dyDescent="0.2">
      <c r="B10" s="19" t="s">
        <v>8</v>
      </c>
      <c r="C10" s="87">
        <v>52.4</v>
      </c>
      <c r="D10" s="87">
        <v>72.099999999999994</v>
      </c>
      <c r="E10" s="87">
        <v>97.3</v>
      </c>
      <c r="F10" s="87">
        <v>122.8</v>
      </c>
      <c r="G10" s="87">
        <v>151.6</v>
      </c>
      <c r="H10" s="27">
        <f>H128</f>
        <v>184.55539456</v>
      </c>
      <c r="I10" s="27">
        <f>I128</f>
        <v>214.03363102719999</v>
      </c>
      <c r="J10" s="23">
        <f>I10*(1+J22)</f>
        <v>252.55968461209596</v>
      </c>
    </row>
    <row r="11" spans="2:11" x14ac:dyDescent="0.2">
      <c r="B11" s="18" t="s">
        <v>9</v>
      </c>
      <c r="C11" s="88">
        <v>-15.699999999999996</v>
      </c>
      <c r="D11" s="88">
        <v>-20.199999999999996</v>
      </c>
      <c r="E11" s="88">
        <v>-25.599999999999994</v>
      </c>
      <c r="F11" s="88">
        <v>-30.700000000000003</v>
      </c>
      <c r="G11" s="88">
        <v>-36.399999999999991</v>
      </c>
      <c r="H11" s="28">
        <f>-(1-H23)*H10</f>
        <v>-43.389995863506059</v>
      </c>
      <c r="I11" s="28">
        <f>-(1-I23)*I10</f>
        <v>-49.250324437683659</v>
      </c>
      <c r="J11" s="85"/>
    </row>
    <row r="12" spans="2:11" x14ac:dyDescent="0.2">
      <c r="B12" s="6" t="s">
        <v>10</v>
      </c>
      <c r="C12" s="27">
        <f>C10+C11</f>
        <v>36.700000000000003</v>
      </c>
      <c r="D12" s="27">
        <f>D10+D11</f>
        <v>51.9</v>
      </c>
      <c r="E12" s="27">
        <f>E10+E11</f>
        <v>71.7</v>
      </c>
      <c r="F12" s="27">
        <f>F10+F11</f>
        <v>92.1</v>
      </c>
      <c r="G12" s="27">
        <f>G10+G11</f>
        <v>115.2</v>
      </c>
      <c r="H12" s="27">
        <f t="shared" ref="H12:I12" si="1">H10+H11</f>
        <v>141.16539869649392</v>
      </c>
      <c r="I12" s="27">
        <f t="shared" si="1"/>
        <v>164.78330658951631</v>
      </c>
      <c r="J12" s="85"/>
    </row>
    <row r="13" spans="2:11" x14ac:dyDescent="0.2">
      <c r="B13" s="18" t="s">
        <v>11</v>
      </c>
      <c r="C13" s="88">
        <v>-36.200000000000003</v>
      </c>
      <c r="D13" s="88">
        <v>-47.1</v>
      </c>
      <c r="E13" s="88">
        <v>-59.300000000000004</v>
      </c>
      <c r="F13" s="88">
        <v>-70</v>
      </c>
      <c r="G13" s="88">
        <v>-81.5</v>
      </c>
      <c r="H13" s="28">
        <f>-(H12-H14)</f>
        <v>-95.026550056493932</v>
      </c>
      <c r="I13" s="28">
        <f>-(I12-I14)</f>
        <v>-104.85388990190032</v>
      </c>
      <c r="J13" s="85"/>
    </row>
    <row r="14" spans="2:11" x14ac:dyDescent="0.2">
      <c r="B14" s="6" t="s">
        <v>12</v>
      </c>
      <c r="C14" s="27">
        <f>C12+C13</f>
        <v>0.5</v>
      </c>
      <c r="D14" s="27">
        <f t="shared" ref="D14:G14" si="2">D12+D13</f>
        <v>4.7999999999999972</v>
      </c>
      <c r="E14" s="27">
        <f t="shared" si="2"/>
        <v>12.399999999999999</v>
      </c>
      <c r="F14" s="27">
        <f t="shared" si="2"/>
        <v>22.099999999999994</v>
      </c>
      <c r="G14" s="27">
        <f t="shared" si="2"/>
        <v>33.700000000000003</v>
      </c>
      <c r="H14" s="27">
        <f>H25*H10</f>
        <v>46.138848639999999</v>
      </c>
      <c r="I14" s="27">
        <f>I25*I10</f>
        <v>59.929416687616005</v>
      </c>
      <c r="J14" s="23">
        <f>J10*J25</f>
        <v>75.767905383628786</v>
      </c>
    </row>
    <row r="15" spans="2:11" x14ac:dyDescent="0.2">
      <c r="B15" s="18" t="s">
        <v>13</v>
      </c>
      <c r="C15" s="89">
        <v>-1.8</v>
      </c>
      <c r="D15" s="89">
        <v>-2.2999999999999998</v>
      </c>
      <c r="E15" s="89">
        <v>-2.9</v>
      </c>
      <c r="F15" s="89">
        <v>-3.4</v>
      </c>
      <c r="G15" s="89">
        <v>-4.0999999999999996</v>
      </c>
      <c r="H15" s="30">
        <f>H42</f>
        <v>-5.5366618367999996</v>
      </c>
      <c r="I15" s="30">
        <f>I42</f>
        <v>-6.421008930815999</v>
      </c>
      <c r="J15" s="85"/>
    </row>
    <row r="16" spans="2:11" x14ac:dyDescent="0.2">
      <c r="B16" s="6" t="s">
        <v>14</v>
      </c>
      <c r="C16" s="27">
        <f>C14+C15</f>
        <v>-1.3</v>
      </c>
      <c r="D16" s="27">
        <f t="shared" ref="D16:G16" si="3">D14+D15</f>
        <v>2.4999999999999973</v>
      </c>
      <c r="E16" s="27">
        <f t="shared" si="3"/>
        <v>9.4999999999999982</v>
      </c>
      <c r="F16" s="27">
        <f t="shared" si="3"/>
        <v>18.699999999999996</v>
      </c>
      <c r="G16" s="27">
        <f t="shared" si="3"/>
        <v>29.6</v>
      </c>
      <c r="H16" s="27">
        <f t="shared" ref="H16" si="4">H14+H15</f>
        <v>40.602186803199999</v>
      </c>
      <c r="I16" s="27">
        <f t="shared" ref="I16" si="5">I14+I15</f>
        <v>53.508407756800004</v>
      </c>
      <c r="J16" s="85"/>
    </row>
    <row r="17" spans="2:11" x14ac:dyDescent="0.2">
      <c r="B17" s="18" t="s">
        <v>15</v>
      </c>
      <c r="C17" s="88">
        <v>-0.39999999999999991</v>
      </c>
      <c r="D17" s="88">
        <v>-0.69999999999999729</v>
      </c>
      <c r="E17" s="88">
        <v>-1.799999999999998</v>
      </c>
      <c r="F17" s="88">
        <v>-3.0999999999999961</v>
      </c>
      <c r="G17" s="88">
        <v>-4.8000000000000007</v>
      </c>
      <c r="H17" s="88"/>
      <c r="I17" s="88"/>
      <c r="J17" s="85"/>
    </row>
    <row r="18" spans="2:11" x14ac:dyDescent="0.2">
      <c r="B18" s="13" t="s">
        <v>16</v>
      </c>
      <c r="C18" s="31">
        <f>C16+C17</f>
        <v>-1.7</v>
      </c>
      <c r="D18" s="31">
        <f t="shared" ref="D18:G18" si="6">D16+D17</f>
        <v>1.8</v>
      </c>
      <c r="E18" s="31">
        <f t="shared" si="6"/>
        <v>7.7</v>
      </c>
      <c r="F18" s="31">
        <f t="shared" si="6"/>
        <v>15.6</v>
      </c>
      <c r="G18" s="31">
        <f t="shared" si="6"/>
        <v>24.8</v>
      </c>
      <c r="H18" s="31">
        <f t="shared" ref="H18" si="7">H16+H17</f>
        <v>40.602186803199999</v>
      </c>
      <c r="I18" s="31">
        <f t="shared" ref="I18" si="8">I16+I17</f>
        <v>53.508407756800004</v>
      </c>
      <c r="J18" s="85"/>
    </row>
    <row r="19" spans="2:11" s="3" customFormat="1" ht="6" customHeight="1" x14ac:dyDescent="0.2">
      <c r="B19" s="4"/>
      <c r="C19" s="4"/>
      <c r="D19" s="4"/>
      <c r="E19" s="4"/>
      <c r="F19" s="4"/>
      <c r="G19" s="4"/>
      <c r="H19" s="4"/>
      <c r="I19" s="4"/>
      <c r="J19" s="4"/>
      <c r="K19" s="4"/>
    </row>
    <row r="20" spans="2:11" x14ac:dyDescent="0.2">
      <c r="B20" s="20" t="s">
        <v>17</v>
      </c>
      <c r="C20" s="15"/>
      <c r="D20" s="15"/>
      <c r="E20" s="15"/>
      <c r="F20" s="15"/>
      <c r="G20" s="15"/>
      <c r="H20" s="15"/>
      <c r="I20" s="15"/>
      <c r="J20" s="15"/>
    </row>
    <row r="21" spans="2:11" s="3" customFormat="1" ht="6" customHeight="1" x14ac:dyDescent="0.2">
      <c r="B21" s="4"/>
      <c r="C21" s="4"/>
      <c r="D21" s="4"/>
      <c r="E21" s="4"/>
      <c r="F21" s="4"/>
      <c r="G21" s="4"/>
      <c r="H21" s="4"/>
      <c r="I21" s="4"/>
      <c r="J21" s="4"/>
      <c r="K21" s="4"/>
    </row>
    <row r="22" spans="2:11" x14ac:dyDescent="0.2">
      <c r="B22" s="6" t="s">
        <v>18</v>
      </c>
      <c r="C22" s="85"/>
      <c r="D22" s="22">
        <f>D10/C10-1</f>
        <v>0.37595419847328237</v>
      </c>
      <c r="E22" s="22">
        <f t="shared" ref="E22:I22" si="9">E10/D10-1</f>
        <v>0.34951456310679618</v>
      </c>
      <c r="F22" s="22">
        <f t="shared" si="9"/>
        <v>0.26207605344296003</v>
      </c>
      <c r="G22" s="22">
        <f t="shared" si="9"/>
        <v>0.23452768729641682</v>
      </c>
      <c r="H22" s="22">
        <f t="shared" si="9"/>
        <v>0.21738386912928753</v>
      </c>
      <c r="I22" s="22">
        <f t="shared" si="9"/>
        <v>0.15972568310711965</v>
      </c>
      <c r="J22" s="90">
        <v>0.18</v>
      </c>
    </row>
    <row r="23" spans="2:11" x14ac:dyDescent="0.2">
      <c r="B23" s="6" t="s">
        <v>19</v>
      </c>
      <c r="C23" s="22">
        <f>C12/C10</f>
        <v>0.70038167938931306</v>
      </c>
      <c r="D23" s="22">
        <f t="shared" ref="D23:G23" si="10">D12/D10</f>
        <v>0.71983356449375868</v>
      </c>
      <c r="E23" s="22">
        <f t="shared" si="10"/>
        <v>0.73689619732785205</v>
      </c>
      <c r="F23" s="22">
        <f t="shared" si="10"/>
        <v>0.75</v>
      </c>
      <c r="G23" s="22">
        <f t="shared" si="10"/>
        <v>0.75989445910290243</v>
      </c>
      <c r="H23" s="25">
        <f>G23+H24</f>
        <v>0.76489445910290244</v>
      </c>
      <c r="I23" s="25">
        <f>H23+I24</f>
        <v>0.76989445910290244</v>
      </c>
      <c r="J23" s="85"/>
    </row>
    <row r="24" spans="2:11" x14ac:dyDescent="0.2">
      <c r="B24" s="40" t="s">
        <v>37</v>
      </c>
      <c r="C24" s="91"/>
      <c r="D24" s="91"/>
      <c r="E24" s="91"/>
      <c r="F24" s="91"/>
      <c r="G24" s="92"/>
      <c r="H24" s="91">
        <v>5.0000000000000001E-3</v>
      </c>
      <c r="I24" s="91">
        <v>5.0000000000000001E-3</v>
      </c>
      <c r="J24" s="85"/>
    </row>
    <row r="25" spans="2:11" x14ac:dyDescent="0.2">
      <c r="B25" s="6" t="s">
        <v>20</v>
      </c>
      <c r="C25" s="22">
        <f>C14/C10</f>
        <v>9.5419847328244278E-3</v>
      </c>
      <c r="D25" s="22">
        <f>D14/D10</f>
        <v>6.6574202496532564E-2</v>
      </c>
      <c r="E25" s="22">
        <f>E14/E10</f>
        <v>0.12744090441932168</v>
      </c>
      <c r="F25" s="22">
        <f>F14/F10</f>
        <v>0.17996742671009769</v>
      </c>
      <c r="G25" s="22">
        <f>G14/G10</f>
        <v>0.22229551451187338</v>
      </c>
      <c r="H25" s="22">
        <f>H120</f>
        <v>0.25</v>
      </c>
      <c r="I25" s="22">
        <f>I120</f>
        <v>0.28000000000000003</v>
      </c>
      <c r="J25" s="93">
        <v>0.3</v>
      </c>
    </row>
    <row r="26" spans="2:11" x14ac:dyDescent="0.2">
      <c r="B26" s="6" t="s">
        <v>21</v>
      </c>
      <c r="C26" s="22">
        <f>C16/C10</f>
        <v>-2.4809160305343515E-2</v>
      </c>
      <c r="D26" s="22">
        <f>D16/D10</f>
        <v>3.4674063800277356E-2</v>
      </c>
      <c r="E26" s="22">
        <f>E16/E10</f>
        <v>9.76361767728674E-2</v>
      </c>
      <c r="F26" s="22">
        <f>F16/F10</f>
        <v>0.15228013029315957</v>
      </c>
      <c r="G26" s="22">
        <f>G16/G10</f>
        <v>0.19525065963060687</v>
      </c>
      <c r="H26" s="22">
        <f t="shared" ref="H26:I26" si="11">H16/H10</f>
        <v>0.22</v>
      </c>
      <c r="I26" s="22">
        <f t="shared" si="11"/>
        <v>0.25000000000000006</v>
      </c>
      <c r="J26" s="85"/>
    </row>
    <row r="27" spans="2:11" x14ac:dyDescent="0.2">
      <c r="B27" s="6" t="s">
        <v>22</v>
      </c>
      <c r="C27" s="22">
        <f>C18/C10</f>
        <v>-3.2442748091603052E-2</v>
      </c>
      <c r="D27" s="22">
        <f>D18/D10</f>
        <v>2.4965325936199725E-2</v>
      </c>
      <c r="E27" s="22">
        <f>E18/E10</f>
        <v>7.9136690647482022E-2</v>
      </c>
      <c r="F27" s="22">
        <f>F18/F10</f>
        <v>0.12703583061889251</v>
      </c>
      <c r="G27" s="22">
        <f>G18/G10</f>
        <v>0.16358839050131926</v>
      </c>
      <c r="H27" s="22">
        <f t="shared" ref="H27:I27" si="12">H18/H10</f>
        <v>0.22</v>
      </c>
      <c r="I27" s="22">
        <f t="shared" si="12"/>
        <v>0.25000000000000006</v>
      </c>
      <c r="J27" s="85"/>
    </row>
    <row r="28" spans="2:11" x14ac:dyDescent="0.2">
      <c r="B28" s="6" t="s">
        <v>23</v>
      </c>
      <c r="C28" s="22">
        <f>C13/-C9</f>
        <v>0.62413793103448278</v>
      </c>
      <c r="D28" s="22">
        <f>D13/-D9</f>
        <v>0.59620253164556969</v>
      </c>
      <c r="E28" s="22">
        <f>E13/-E9</f>
        <v>0.57019230769230778</v>
      </c>
      <c r="F28" s="22">
        <f>F13/-F9</f>
        <v>0.53435114503816794</v>
      </c>
      <c r="G28" s="22">
        <f>G13/-G9</f>
        <v>0.50308641975308643</v>
      </c>
      <c r="H28" s="22">
        <f t="shared" ref="H28:I28" si="13">H13/-H9</f>
        <v>0.50249142578636785</v>
      </c>
      <c r="I28" s="22">
        <f t="shared" si="13"/>
        <v>0.47888006459308857</v>
      </c>
      <c r="J28" s="85"/>
    </row>
    <row r="29" spans="2:11" x14ac:dyDescent="0.2">
      <c r="B29" s="6" t="s">
        <v>36</v>
      </c>
      <c r="C29" s="90"/>
      <c r="D29" s="22">
        <f>-D17/D16</f>
        <v>0.27999999999999919</v>
      </c>
      <c r="E29" s="22">
        <f>-E17/E16</f>
        <v>0.18947368421052616</v>
      </c>
      <c r="F29" s="22">
        <f>-F17/F16</f>
        <v>0.16577540106951855</v>
      </c>
      <c r="G29" s="22">
        <f>-G17/G16</f>
        <v>0.16216216216216217</v>
      </c>
      <c r="H29" s="85"/>
      <c r="I29" s="85"/>
      <c r="J29" s="85"/>
    </row>
    <row r="30" spans="2:11" x14ac:dyDescent="0.2">
      <c r="B30" s="6" t="s">
        <v>98</v>
      </c>
      <c r="C30" s="85"/>
      <c r="D30" s="85"/>
      <c r="E30" s="85">
        <v>13.3</v>
      </c>
      <c r="F30" s="85"/>
      <c r="G30" s="85"/>
      <c r="H30" s="85"/>
      <c r="I30" s="85"/>
      <c r="J30" s="85"/>
    </row>
    <row r="31" spans="2:11" x14ac:dyDescent="0.2">
      <c r="B31" s="6" t="s">
        <v>28</v>
      </c>
      <c r="C31" s="85"/>
      <c r="D31" s="85"/>
      <c r="E31" s="85">
        <v>8.5</v>
      </c>
      <c r="F31" s="85"/>
      <c r="G31" s="85"/>
      <c r="H31" s="85"/>
      <c r="I31" s="85"/>
      <c r="J31" s="85"/>
    </row>
    <row r="32" spans="2:11" s="3" customFormat="1" ht="6" customHeight="1" x14ac:dyDescent="0.2">
      <c r="B32" s="4"/>
      <c r="C32" s="4"/>
      <c r="D32" s="4"/>
      <c r="E32" s="4"/>
      <c r="F32" s="4"/>
      <c r="G32" s="4"/>
      <c r="H32" s="4"/>
      <c r="I32" s="4"/>
      <c r="J32" s="4"/>
      <c r="K32" s="4"/>
    </row>
    <row r="33" spans="2:11" x14ac:dyDescent="0.2">
      <c r="B33" s="14" t="s">
        <v>5</v>
      </c>
      <c r="C33" s="14"/>
      <c r="D33" s="14"/>
      <c r="E33" s="14"/>
      <c r="F33" s="14"/>
      <c r="G33" s="14"/>
      <c r="H33" s="14"/>
      <c r="I33" s="14"/>
      <c r="J33" s="14"/>
    </row>
    <row r="34" spans="2:11" s="3" customFormat="1" ht="6" customHeight="1" x14ac:dyDescent="0.2">
      <c r="B34" s="4"/>
      <c r="C34" s="4"/>
      <c r="D34" s="4"/>
      <c r="E34" s="4"/>
      <c r="F34" s="4"/>
      <c r="G34" s="4"/>
      <c r="H34" s="4"/>
      <c r="I34" s="4"/>
      <c r="J34" s="4"/>
      <c r="K34" s="4"/>
    </row>
    <row r="35" spans="2:11" x14ac:dyDescent="0.2">
      <c r="B35" s="20" t="s">
        <v>38</v>
      </c>
      <c r="C35" s="15"/>
      <c r="D35" s="15"/>
      <c r="E35" s="15"/>
      <c r="F35" s="15"/>
      <c r="G35" s="15"/>
      <c r="H35" s="15"/>
      <c r="I35" s="15"/>
      <c r="J35" s="15"/>
    </row>
    <row r="36" spans="2:11" s="3" customFormat="1" ht="6" customHeight="1" x14ac:dyDescent="0.2">
      <c r="B36" s="4"/>
      <c r="C36" s="4"/>
      <c r="D36" s="4"/>
      <c r="E36" s="4"/>
      <c r="F36" s="4"/>
      <c r="G36" s="4"/>
      <c r="H36" s="4"/>
      <c r="I36" s="4"/>
      <c r="J36" s="4"/>
      <c r="K36" s="4"/>
    </row>
    <row r="37" spans="2:11" s="3" customFormat="1" ht="14" customHeight="1" x14ac:dyDescent="0.2">
      <c r="F37" s="7" t="s">
        <v>1</v>
      </c>
      <c r="G37" s="7"/>
      <c r="H37" s="7"/>
      <c r="I37" s="7"/>
      <c r="J37" s="7"/>
      <c r="K37" s="4"/>
    </row>
    <row r="38" spans="2:11" s="3" customFormat="1" ht="14" customHeight="1" x14ac:dyDescent="0.2">
      <c r="B38" s="64"/>
      <c r="C38" s="4"/>
      <c r="D38" s="4"/>
      <c r="E38" s="4"/>
      <c r="F38" s="9">
        <f>F3</f>
        <v>2025</v>
      </c>
      <c r="G38" s="9">
        <f t="shared" ref="G38:J38" si="14">F38+1</f>
        <v>2026</v>
      </c>
      <c r="H38" s="9">
        <f t="shared" si="14"/>
        <v>2027</v>
      </c>
      <c r="I38" s="9">
        <f t="shared" si="14"/>
        <v>2028</v>
      </c>
      <c r="J38" s="9">
        <f t="shared" si="14"/>
        <v>2029</v>
      </c>
      <c r="K38" s="4"/>
    </row>
    <row r="39" spans="2:11" s="3" customFormat="1" ht="6" customHeight="1" x14ac:dyDescent="0.2">
      <c r="B39" s="4"/>
      <c r="C39" s="4"/>
      <c r="D39" s="4"/>
      <c r="E39" s="4"/>
      <c r="F39" s="94"/>
      <c r="G39" s="94"/>
      <c r="H39" s="94"/>
      <c r="I39" s="94"/>
      <c r="J39" s="94"/>
      <c r="K39" s="4"/>
    </row>
    <row r="40" spans="2:11" s="3" customFormat="1" ht="14" customHeight="1" x14ac:dyDescent="0.2">
      <c r="B40" s="64" t="str">
        <f>B10</f>
        <v>Total Revenue</v>
      </c>
      <c r="C40" s="4"/>
      <c r="D40" s="4"/>
      <c r="E40" s="4"/>
      <c r="F40" s="65">
        <f>F10</f>
        <v>122.8</v>
      </c>
      <c r="G40" s="65">
        <f>G10</f>
        <v>151.6</v>
      </c>
      <c r="H40" s="65">
        <f>H10</f>
        <v>184.55539456</v>
      </c>
      <c r="I40" s="65">
        <f>I10</f>
        <v>214.03363102719999</v>
      </c>
      <c r="J40" s="65">
        <f>J10</f>
        <v>252.55968461209596</v>
      </c>
      <c r="K40" s="4"/>
    </row>
    <row r="41" spans="2:11" x14ac:dyDescent="0.2">
      <c r="B41" s="6" t="s">
        <v>12</v>
      </c>
      <c r="C41" s="29"/>
      <c r="D41" s="29"/>
      <c r="E41" s="29"/>
      <c r="F41" s="29">
        <f>F14</f>
        <v>22.099999999999994</v>
      </c>
      <c r="G41" s="29">
        <f>G14</f>
        <v>33.700000000000003</v>
      </c>
      <c r="H41" s="29">
        <f>H14</f>
        <v>46.138848639999999</v>
      </c>
      <c r="I41" s="29">
        <f>I14</f>
        <v>59.929416687616005</v>
      </c>
      <c r="J41" s="29">
        <f>J14</f>
        <v>75.767905383628786</v>
      </c>
    </row>
    <row r="42" spans="2:11" x14ac:dyDescent="0.2">
      <c r="B42" s="18" t="s">
        <v>13</v>
      </c>
      <c r="C42" s="29"/>
      <c r="D42" s="29"/>
      <c r="E42" s="29"/>
      <c r="F42" s="29">
        <f>F15</f>
        <v>-3.4</v>
      </c>
      <c r="G42" s="29">
        <f>G15</f>
        <v>-4.0999999999999996</v>
      </c>
      <c r="H42" s="34">
        <f>-H54*H10</f>
        <v>-5.5366618367999996</v>
      </c>
      <c r="I42" s="34">
        <f>-I54*I10</f>
        <v>-6.421008930815999</v>
      </c>
      <c r="J42" s="34">
        <f>-J54*J10</f>
        <v>-7.5767905383628786</v>
      </c>
    </row>
    <row r="43" spans="2:11" x14ac:dyDescent="0.2">
      <c r="B43" s="6" t="s">
        <v>14</v>
      </c>
      <c r="C43" s="23"/>
      <c r="D43" s="23"/>
      <c r="E43" s="23"/>
      <c r="F43" s="23">
        <f t="shared" ref="F43:J43" si="15">F41+F42</f>
        <v>18.699999999999996</v>
      </c>
      <c r="G43" s="23">
        <f t="shared" si="15"/>
        <v>29.6</v>
      </c>
      <c r="H43" s="23">
        <f t="shared" si="15"/>
        <v>40.602186803199999</v>
      </c>
      <c r="I43" s="23">
        <f t="shared" si="15"/>
        <v>53.508407756800004</v>
      </c>
      <c r="J43" s="23">
        <f t="shared" si="15"/>
        <v>68.191114845265901</v>
      </c>
    </row>
    <row r="44" spans="2:11" x14ac:dyDescent="0.2">
      <c r="B44" s="18" t="s">
        <v>43</v>
      </c>
      <c r="E44" s="25"/>
      <c r="F44" s="24">
        <f>F56</f>
        <v>0.25</v>
      </c>
      <c r="G44" s="24">
        <f>G56</f>
        <v>0.25</v>
      </c>
      <c r="H44" s="24">
        <f>H56</f>
        <v>0.25</v>
      </c>
      <c r="I44" s="24">
        <f>I56</f>
        <v>0.25</v>
      </c>
      <c r="J44" s="24">
        <f>J56</f>
        <v>0.25</v>
      </c>
      <c r="K44" s="24"/>
    </row>
    <row r="45" spans="2:11" x14ac:dyDescent="0.2">
      <c r="B45" s="13" t="s">
        <v>44</v>
      </c>
      <c r="C45" s="13"/>
      <c r="D45" s="13"/>
      <c r="E45" s="35"/>
      <c r="F45" s="37">
        <f>F43*(1-F44)</f>
        <v>14.024999999999997</v>
      </c>
      <c r="G45" s="37">
        <f>G43*(1-G44)</f>
        <v>22.200000000000003</v>
      </c>
      <c r="H45" s="37">
        <f>H43*(1-H44)</f>
        <v>30.451640102399999</v>
      </c>
      <c r="I45" s="37">
        <f>I43*(1-I44)</f>
        <v>40.131305817600001</v>
      </c>
      <c r="J45" s="37">
        <f>J43*(1-J44)</f>
        <v>51.143336133949425</v>
      </c>
    </row>
    <row r="46" spans="2:11" x14ac:dyDescent="0.2">
      <c r="B46" s="6" t="str">
        <f>B42</f>
        <v>Depreciation &amp; Amortization</v>
      </c>
      <c r="E46" s="29"/>
      <c r="F46" s="29">
        <f t="shared" ref="F46:G46" si="16">-F42</f>
        <v>3.4</v>
      </c>
      <c r="G46" s="29">
        <f t="shared" si="16"/>
        <v>4.0999999999999996</v>
      </c>
      <c r="H46" s="29">
        <f>H54*H10</f>
        <v>5.5366618367999996</v>
      </c>
      <c r="I46" s="29">
        <f>I54*I10</f>
        <v>6.421008930815999</v>
      </c>
      <c r="J46" s="29">
        <f>J54*J10</f>
        <v>7.5767905383628786</v>
      </c>
    </row>
    <row r="47" spans="2:11" x14ac:dyDescent="0.2">
      <c r="B47" s="18" t="s">
        <v>45</v>
      </c>
      <c r="F47" s="23">
        <f>F53*F10</f>
        <v>2.456</v>
      </c>
      <c r="G47" s="23">
        <f>G53*G10</f>
        <v>3.032</v>
      </c>
      <c r="H47" s="23">
        <f>H53*H10</f>
        <v>3.6911078912000002</v>
      </c>
      <c r="I47" s="23">
        <f>I53*I10</f>
        <v>4.2806726205440002</v>
      </c>
      <c r="J47" s="23">
        <f>J53*J10</f>
        <v>5.0511936922419194</v>
      </c>
    </row>
    <row r="48" spans="2:11" x14ac:dyDescent="0.2">
      <c r="B48" s="18" t="s">
        <v>49</v>
      </c>
      <c r="F48" s="23">
        <f>F55</f>
        <v>0</v>
      </c>
      <c r="G48" s="23">
        <f>G55</f>
        <v>0</v>
      </c>
      <c r="H48" s="23">
        <f>H55</f>
        <v>0</v>
      </c>
      <c r="I48" s="23">
        <f>I55</f>
        <v>0</v>
      </c>
      <c r="J48" s="23">
        <f>J55</f>
        <v>0</v>
      </c>
    </row>
    <row r="49" spans="2:11" x14ac:dyDescent="0.2">
      <c r="B49" s="13" t="s">
        <v>51</v>
      </c>
      <c r="F49" s="37">
        <f>F45+F46+-F47-F48</f>
        <v>14.968999999999998</v>
      </c>
      <c r="G49" s="37">
        <f>G45+G46+-G47-G48</f>
        <v>23.268000000000004</v>
      </c>
      <c r="H49" s="37">
        <f>H45+H46+-H47-H48</f>
        <v>32.297194048000001</v>
      </c>
      <c r="I49" s="37">
        <f>I45+I46+-I47-I48</f>
        <v>42.271642127871999</v>
      </c>
      <c r="J49" s="37">
        <f>J45+J46+-J47-J48</f>
        <v>53.668932980070387</v>
      </c>
    </row>
    <row r="50" spans="2:11" s="3" customFormat="1" ht="6" customHeight="1" x14ac:dyDescent="0.2">
      <c r="B50" s="4"/>
      <c r="C50" s="4"/>
      <c r="D50" s="4"/>
      <c r="E50" s="4"/>
      <c r="F50" s="4"/>
      <c r="G50" s="4"/>
      <c r="H50" s="4"/>
      <c r="I50" s="4"/>
      <c r="J50" s="4"/>
      <c r="K50" s="4"/>
    </row>
    <row r="51" spans="2:11" x14ac:dyDescent="0.2">
      <c r="B51" s="20" t="s">
        <v>46</v>
      </c>
      <c r="C51" s="15"/>
      <c r="D51" s="15"/>
      <c r="E51" s="15"/>
      <c r="F51" s="15"/>
      <c r="G51" s="15"/>
      <c r="H51" s="15"/>
      <c r="I51" s="15"/>
      <c r="J51" s="15"/>
    </row>
    <row r="52" spans="2:11" s="3" customFormat="1" ht="6" customHeight="1" x14ac:dyDescent="0.2">
      <c r="B52" s="4"/>
      <c r="C52" s="4"/>
      <c r="D52" s="4"/>
      <c r="E52" s="4"/>
      <c r="F52" s="4"/>
      <c r="G52" s="4"/>
      <c r="H52" s="4"/>
      <c r="I52" s="4"/>
      <c r="J52" s="4"/>
      <c r="K52" s="4"/>
    </row>
    <row r="53" spans="2:11" x14ac:dyDescent="0.2">
      <c r="B53" s="6" t="s">
        <v>47</v>
      </c>
      <c r="F53" s="93">
        <v>0.02</v>
      </c>
      <c r="G53" s="93">
        <v>0.02</v>
      </c>
      <c r="H53" s="93">
        <v>0.02</v>
      </c>
      <c r="I53" s="24">
        <f>H53</f>
        <v>0.02</v>
      </c>
      <c r="J53" s="24">
        <f>I53</f>
        <v>0.02</v>
      </c>
    </row>
    <row r="54" spans="2:11" x14ac:dyDescent="0.2">
      <c r="B54" s="6" t="s">
        <v>48</v>
      </c>
      <c r="F54" s="93">
        <v>0.03</v>
      </c>
      <c r="G54" s="93">
        <v>0.03</v>
      </c>
      <c r="H54" s="93">
        <v>0.03</v>
      </c>
      <c r="I54" s="24">
        <f>H54</f>
        <v>0.03</v>
      </c>
      <c r="J54" s="24">
        <f>I54</f>
        <v>0.03</v>
      </c>
    </row>
    <row r="55" spans="2:11" x14ac:dyDescent="0.2">
      <c r="B55" s="6" t="s">
        <v>49</v>
      </c>
      <c r="F55" s="97">
        <v>0</v>
      </c>
      <c r="G55" s="97">
        <v>0</v>
      </c>
      <c r="H55" s="97">
        <v>0</v>
      </c>
      <c r="I55" s="97">
        <v>0</v>
      </c>
      <c r="J55" s="23">
        <f>I55</f>
        <v>0</v>
      </c>
    </row>
    <row r="56" spans="2:11" x14ac:dyDescent="0.2">
      <c r="B56" s="6" t="s">
        <v>50</v>
      </c>
      <c r="F56" s="93">
        <v>0.25</v>
      </c>
      <c r="G56" s="93">
        <v>0.25</v>
      </c>
      <c r="H56" s="93">
        <v>0.25</v>
      </c>
      <c r="I56" s="24">
        <f>H56</f>
        <v>0.25</v>
      </c>
      <c r="J56" s="24">
        <f>I56</f>
        <v>0.25</v>
      </c>
    </row>
    <row r="57" spans="2:11" s="3" customFormat="1" ht="6" customHeight="1" x14ac:dyDescent="0.2">
      <c r="B57" s="4"/>
      <c r="C57" s="4"/>
      <c r="D57" s="4"/>
      <c r="E57" s="4"/>
      <c r="F57" s="4"/>
      <c r="G57" s="4"/>
      <c r="H57" s="4"/>
      <c r="I57" s="4"/>
      <c r="J57" s="4"/>
      <c r="K57" s="4"/>
    </row>
    <row r="58" spans="2:11" x14ac:dyDescent="0.2">
      <c r="B58" s="20" t="s">
        <v>102</v>
      </c>
      <c r="C58" s="15"/>
      <c r="D58" s="15"/>
      <c r="E58" s="15"/>
      <c r="F58" s="15"/>
      <c r="G58" s="15"/>
      <c r="H58" s="15"/>
      <c r="I58" s="15"/>
      <c r="J58" s="15"/>
    </row>
    <row r="59" spans="2:11" s="3" customFormat="1" ht="6" customHeight="1" x14ac:dyDescent="0.2">
      <c r="B59" s="4"/>
      <c r="C59" s="4"/>
      <c r="D59" s="4"/>
      <c r="E59" s="4"/>
      <c r="F59" s="4"/>
      <c r="G59" s="4"/>
      <c r="H59" s="4"/>
      <c r="I59" s="4"/>
      <c r="J59" s="4"/>
      <c r="K59" s="4"/>
    </row>
    <row r="60" spans="2:11" x14ac:dyDescent="0.2">
      <c r="B60" s="6" t="s">
        <v>51</v>
      </c>
      <c r="C60" s="85"/>
      <c r="D60" s="85"/>
      <c r="E60" s="85"/>
      <c r="F60" s="23">
        <f>F49</f>
        <v>14.968999999999998</v>
      </c>
      <c r="G60" s="23">
        <f t="shared" ref="G60:J60" si="17">G49</f>
        <v>23.268000000000004</v>
      </c>
      <c r="H60" s="23">
        <f t="shared" si="17"/>
        <v>32.297194048000001</v>
      </c>
      <c r="I60" s="23">
        <f t="shared" si="17"/>
        <v>42.271642127871999</v>
      </c>
      <c r="J60" s="23">
        <f t="shared" si="17"/>
        <v>53.668932980070387</v>
      </c>
    </row>
    <row r="61" spans="2:11" x14ac:dyDescent="0.2">
      <c r="B61" s="6" t="s">
        <v>103</v>
      </c>
      <c r="C61" s="85"/>
      <c r="D61" s="85"/>
      <c r="E61" s="85"/>
      <c r="F61" s="98">
        <v>1</v>
      </c>
      <c r="G61" s="66">
        <f>F61+1</f>
        <v>2</v>
      </c>
      <c r="H61" s="66">
        <f t="shared" ref="H61:J61" si="18">G61+1</f>
        <v>3</v>
      </c>
      <c r="I61" s="66">
        <f t="shared" si="18"/>
        <v>4</v>
      </c>
      <c r="J61" s="66">
        <f t="shared" si="18"/>
        <v>5</v>
      </c>
    </row>
    <row r="62" spans="2:11" x14ac:dyDescent="0.2">
      <c r="B62" s="13" t="s">
        <v>139</v>
      </c>
      <c r="C62" s="85"/>
      <c r="D62" s="85"/>
      <c r="E62" s="85"/>
      <c r="F62" s="62">
        <f>F60/((1+$C$63)^F61)</f>
        <v>13.425112107623317</v>
      </c>
      <c r="G62" s="62">
        <f>G60/((1+$C$63)^G61)</f>
        <v>18.715839851997831</v>
      </c>
      <c r="H62" s="62">
        <f>H60/((1+$C$63)^H61)</f>
        <v>23.299156079222932</v>
      </c>
      <c r="I62" s="62">
        <f>I60/((1+$C$63)^I61)</f>
        <v>27.349516288070475</v>
      </c>
      <c r="J62" s="62">
        <f>J60/((1+$C$63)^J61)</f>
        <v>31.142152281245025</v>
      </c>
    </row>
    <row r="63" spans="2:11" x14ac:dyDescent="0.2">
      <c r="B63" s="6" t="s">
        <v>104</v>
      </c>
      <c r="C63" s="99">
        <v>0.115</v>
      </c>
      <c r="D63" s="85"/>
      <c r="E63" s="85"/>
      <c r="F63" s="85"/>
      <c r="G63" s="85"/>
      <c r="H63" s="85"/>
      <c r="I63" s="85"/>
      <c r="J63" s="85"/>
    </row>
    <row r="64" spans="2:11" x14ac:dyDescent="0.2">
      <c r="B64" s="6" t="s">
        <v>107</v>
      </c>
      <c r="C64" s="100">
        <v>22</v>
      </c>
      <c r="D64" s="85"/>
      <c r="E64" s="85"/>
      <c r="F64" s="85"/>
      <c r="G64" s="93"/>
      <c r="H64" s="93"/>
      <c r="I64" s="93"/>
      <c r="J64" s="85"/>
    </row>
    <row r="65" spans="2:11" x14ac:dyDescent="0.2">
      <c r="B65" s="6" t="s">
        <v>106</v>
      </c>
      <c r="C65" s="23">
        <f>J41</f>
        <v>75.767905383628786</v>
      </c>
      <c r="D65" s="85"/>
      <c r="E65" s="85"/>
      <c r="F65" s="85"/>
      <c r="G65" s="93"/>
      <c r="H65" s="93"/>
      <c r="I65" s="93"/>
      <c r="J65" s="85"/>
    </row>
    <row r="66" spans="2:11" x14ac:dyDescent="0.2">
      <c r="B66" s="6" t="s">
        <v>105</v>
      </c>
      <c r="C66" s="23">
        <f>C64*C65</f>
        <v>1666.8939184398332</v>
      </c>
      <c r="D66" s="85"/>
      <c r="E66" s="85"/>
      <c r="F66" s="85"/>
      <c r="G66" s="93"/>
      <c r="H66" s="93"/>
      <c r="I66" s="93"/>
      <c r="J66" s="85"/>
    </row>
    <row r="67" spans="2:11" x14ac:dyDescent="0.2">
      <c r="B67" s="6" t="s">
        <v>108</v>
      </c>
      <c r="C67" s="16">
        <f>C66/((1+C63)^J61)</f>
        <v>967.2386120292573</v>
      </c>
      <c r="D67" s="85"/>
      <c r="E67" s="85"/>
      <c r="F67" s="85"/>
      <c r="G67" s="93"/>
      <c r="H67" s="93"/>
      <c r="I67" s="93"/>
      <c r="J67" s="85"/>
    </row>
    <row r="68" spans="2:11" x14ac:dyDescent="0.2">
      <c r="B68" s="6" t="s">
        <v>136</v>
      </c>
      <c r="C68" s="21">
        <f>C67/C69</f>
        <v>0.89462181187578949</v>
      </c>
      <c r="D68" s="85"/>
      <c r="E68" s="85"/>
      <c r="F68" s="85"/>
      <c r="G68" s="93"/>
      <c r="H68" s="93"/>
      <c r="I68" s="93"/>
      <c r="J68" s="85"/>
    </row>
    <row r="69" spans="2:11" x14ac:dyDescent="0.2">
      <c r="B69" s="6" t="s">
        <v>109</v>
      </c>
      <c r="C69" s="23">
        <f>C67+SUM(F62:J62)</f>
        <v>1081.1703886374169</v>
      </c>
      <c r="D69" s="85"/>
      <c r="E69" s="85"/>
      <c r="F69" s="85"/>
      <c r="G69" s="93"/>
      <c r="H69" s="93"/>
      <c r="I69" s="93"/>
      <c r="J69" s="85"/>
    </row>
    <row r="70" spans="2:11" x14ac:dyDescent="0.2">
      <c r="B70" s="6" t="s">
        <v>97</v>
      </c>
      <c r="C70" s="6">
        <f>E30</f>
        <v>13.3</v>
      </c>
      <c r="D70" s="85"/>
      <c r="E70" s="85"/>
      <c r="F70" s="85"/>
      <c r="G70" s="93"/>
      <c r="H70" s="93"/>
      <c r="I70" s="93"/>
      <c r="J70" s="85"/>
    </row>
    <row r="71" spans="2:11" x14ac:dyDescent="0.2">
      <c r="B71" s="6" t="s">
        <v>110</v>
      </c>
      <c r="C71" s="23">
        <f>C69+C70</f>
        <v>1094.4703886374168</v>
      </c>
      <c r="D71" s="85"/>
      <c r="E71" s="85"/>
      <c r="F71" s="85"/>
      <c r="G71" s="93"/>
      <c r="H71" s="93"/>
      <c r="I71" s="93"/>
      <c r="J71" s="85"/>
    </row>
    <row r="72" spans="2:11" x14ac:dyDescent="0.2">
      <c r="B72" s="6" t="s">
        <v>28</v>
      </c>
      <c r="C72" s="6">
        <f>E31</f>
        <v>8.5</v>
      </c>
      <c r="D72" s="85"/>
      <c r="E72" s="85"/>
      <c r="F72" s="85"/>
      <c r="G72" s="93"/>
      <c r="H72" s="93"/>
      <c r="I72" s="93"/>
      <c r="J72" s="85"/>
    </row>
    <row r="73" spans="2:11" x14ac:dyDescent="0.2">
      <c r="B73" s="13" t="s">
        <v>111</v>
      </c>
      <c r="C73" s="35">
        <f>C71/C72</f>
        <v>128.76122219263726</v>
      </c>
      <c r="D73" s="85"/>
      <c r="E73" s="85"/>
      <c r="F73" s="85"/>
      <c r="G73" s="93"/>
      <c r="H73" s="93"/>
      <c r="I73" s="93"/>
      <c r="J73" s="85"/>
    </row>
    <row r="74" spans="2:11" s="3" customFormat="1" ht="6" customHeight="1" x14ac:dyDescent="0.2">
      <c r="B74" s="4"/>
      <c r="C74" s="4"/>
      <c r="D74" s="4"/>
      <c r="E74" s="4"/>
      <c r="F74" s="4"/>
      <c r="G74" s="4"/>
      <c r="H74" s="4"/>
      <c r="I74" s="4"/>
      <c r="J74" s="4"/>
      <c r="K74" s="4"/>
    </row>
    <row r="75" spans="2:11" x14ac:dyDescent="0.2">
      <c r="B75" s="20" t="s">
        <v>138</v>
      </c>
      <c r="C75" s="15"/>
      <c r="D75" s="15"/>
      <c r="E75" s="15"/>
      <c r="F75" s="15"/>
      <c r="G75" s="15"/>
      <c r="H75" s="15"/>
      <c r="I75" s="15"/>
      <c r="J75" s="15"/>
    </row>
    <row r="76" spans="2:11" s="3" customFormat="1" ht="6" customHeight="1" x14ac:dyDescent="0.2">
      <c r="B76" s="4"/>
      <c r="C76" s="4"/>
      <c r="D76" s="4"/>
      <c r="E76" s="4"/>
      <c r="F76" s="4"/>
      <c r="G76" s="4"/>
      <c r="H76" s="4"/>
      <c r="I76" s="4"/>
      <c r="J76" s="4"/>
      <c r="K76" s="4"/>
    </row>
    <row r="77" spans="2:11" x14ac:dyDescent="0.2">
      <c r="B77" s="5"/>
      <c r="C77" s="5"/>
      <c r="D77" s="115" t="str">
        <f>B64</f>
        <v>Exit Multiple</v>
      </c>
      <c r="E77" s="67"/>
      <c r="F77" s="67"/>
      <c r="G77" s="67"/>
      <c r="H77" s="67"/>
      <c r="I77" s="24"/>
    </row>
    <row r="78" spans="2:11" x14ac:dyDescent="0.2">
      <c r="B78" s="1"/>
      <c r="C78" s="63">
        <f>C69</f>
        <v>1081.1703886374169</v>
      </c>
      <c r="D78" s="116">
        <f>E78-0.25</f>
        <v>21.5</v>
      </c>
      <c r="E78" s="116">
        <f>F78-0.25</f>
        <v>21.75</v>
      </c>
      <c r="F78" s="116">
        <f>C64</f>
        <v>22</v>
      </c>
      <c r="G78" s="116">
        <f>F78+0.25</f>
        <v>22.25</v>
      </c>
      <c r="H78" s="116">
        <f>G78+0.25</f>
        <v>22.5</v>
      </c>
      <c r="I78" s="24"/>
    </row>
    <row r="79" spans="2:11" ht="14" customHeight="1" x14ac:dyDescent="0.2">
      <c r="B79" s="68" t="s">
        <v>104</v>
      </c>
      <c r="C79" s="117">
        <f>C80-0.15%</f>
        <v>0.112</v>
      </c>
      <c r="D79" s="70">
        <f t="dataTable" ref="D79:H83" dt2D="1" dtr="1" r1="C64" r2="C63" ca="1"/>
        <v>1073.0525442851269</v>
      </c>
      <c r="E79" s="70">
        <v>1061.9121296867409</v>
      </c>
      <c r="F79" s="70">
        <v>1061.9121296867409</v>
      </c>
      <c r="G79" s="70">
        <v>1073.0525442851269</v>
      </c>
      <c r="H79" s="70">
        <v>1095.3333734818989</v>
      </c>
      <c r="I79" s="24"/>
    </row>
    <row r="80" spans="2:11" x14ac:dyDescent="0.2">
      <c r="B80" s="68"/>
      <c r="C80" s="117">
        <f>C81-0.15%</f>
        <v>0.1135</v>
      </c>
      <c r="D80" s="70">
        <v>1080.0684037814024</v>
      </c>
      <c r="E80" s="71">
        <v>1068.8525464706161</v>
      </c>
      <c r="F80" s="71">
        <v>1068.8525464706161</v>
      </c>
      <c r="G80" s="71">
        <v>1080.0684037814024</v>
      </c>
      <c r="H80" s="70">
        <v>1102.500118402975</v>
      </c>
      <c r="I80" s="24"/>
    </row>
    <row r="81" spans="2:11" x14ac:dyDescent="0.2">
      <c r="B81" s="68"/>
      <c r="C81" s="117">
        <f>C63</f>
        <v>0.115</v>
      </c>
      <c r="D81" s="70">
        <v>1080.0684037814024</v>
      </c>
      <c r="E81" s="71">
        <v>1068.8525464706161</v>
      </c>
      <c r="F81" s="71">
        <v>1068.8525464706161</v>
      </c>
      <c r="G81" s="71">
        <v>1080.0684037814024</v>
      </c>
      <c r="H81" s="70">
        <v>1102.500118402975</v>
      </c>
      <c r="I81" s="24"/>
    </row>
    <row r="82" spans="2:11" x14ac:dyDescent="0.2">
      <c r="B82" s="68"/>
      <c r="C82" s="117">
        <f>C81+0.15%</f>
        <v>0.11650000000000001</v>
      </c>
      <c r="D82" s="70">
        <v>1073.0525442851269</v>
      </c>
      <c r="E82" s="71">
        <v>1061.9121296867409</v>
      </c>
      <c r="F82" s="71">
        <v>1061.9121296867409</v>
      </c>
      <c r="G82" s="71">
        <v>1073.0525442851269</v>
      </c>
      <c r="H82" s="70">
        <v>1095.3333734818989</v>
      </c>
      <c r="I82" s="24"/>
    </row>
    <row r="83" spans="2:11" x14ac:dyDescent="0.2">
      <c r="B83" s="68"/>
      <c r="C83" s="117">
        <f>C82+0.15%</f>
        <v>0.11800000000000001</v>
      </c>
      <c r="D83" s="70">
        <v>1059.1876929094792</v>
      </c>
      <c r="E83" s="70">
        <v>1048.1963450455103</v>
      </c>
      <c r="F83" s="70">
        <v>1048.1963450455103</v>
      </c>
      <c r="G83" s="70">
        <v>1059.1876929094792</v>
      </c>
      <c r="H83" s="70">
        <v>1081.1703886374169</v>
      </c>
      <c r="I83" s="24"/>
    </row>
    <row r="84" spans="2:11" s="3" customFormat="1" ht="6" customHeight="1" x14ac:dyDescent="0.2">
      <c r="B84" s="4"/>
      <c r="C84" s="4"/>
      <c r="D84" s="4"/>
      <c r="E84" s="4"/>
      <c r="F84" s="4"/>
      <c r="G84" s="4"/>
      <c r="H84" s="4"/>
      <c r="I84" s="4"/>
      <c r="J84" s="4"/>
      <c r="K84" s="4"/>
    </row>
    <row r="85" spans="2:11" x14ac:dyDescent="0.2">
      <c r="B85" s="20" t="s">
        <v>144</v>
      </c>
      <c r="C85" s="15"/>
      <c r="D85" s="15"/>
      <c r="E85" s="15"/>
      <c r="F85" s="15"/>
      <c r="G85" s="15"/>
      <c r="H85" s="15"/>
      <c r="I85" s="15"/>
      <c r="J85" s="15"/>
    </row>
    <row r="86" spans="2:11" s="3" customFormat="1" ht="6" customHeight="1" x14ac:dyDescent="0.2">
      <c r="B86" s="4"/>
      <c r="C86" s="4"/>
      <c r="D86" s="4"/>
      <c r="E86" s="4"/>
      <c r="F86" s="4"/>
      <c r="G86" s="4"/>
      <c r="H86" s="4"/>
      <c r="I86" s="4"/>
      <c r="J86" s="4"/>
      <c r="K86" s="4"/>
    </row>
    <row r="87" spans="2:11" x14ac:dyDescent="0.2">
      <c r="B87" s="6" t="s">
        <v>147</v>
      </c>
      <c r="C87" s="128">
        <v>950</v>
      </c>
      <c r="D87" s="70"/>
      <c r="E87" s="70"/>
      <c r="F87" s="70"/>
      <c r="G87" s="70"/>
      <c r="H87" s="70"/>
      <c r="I87" s="24"/>
    </row>
    <row r="88" spans="2:11" x14ac:dyDescent="0.2">
      <c r="B88" s="6" t="s">
        <v>148</v>
      </c>
      <c r="C88" s="129">
        <v>0.5</v>
      </c>
      <c r="D88" s="70"/>
      <c r="E88" s="70"/>
      <c r="F88" s="70"/>
      <c r="G88" s="70"/>
      <c r="H88" s="70"/>
      <c r="I88" s="24"/>
    </row>
    <row r="89" spans="2:11" x14ac:dyDescent="0.2">
      <c r="B89" s="6" t="s">
        <v>149</v>
      </c>
      <c r="C89" s="123">
        <f>C87*C88</f>
        <v>475</v>
      </c>
      <c r="D89" s="70"/>
      <c r="E89" s="70"/>
      <c r="F89" s="70"/>
      <c r="G89" s="70"/>
      <c r="H89" s="70"/>
      <c r="I89" s="24"/>
    </row>
    <row r="90" spans="2:11" x14ac:dyDescent="0.2">
      <c r="B90" s="6" t="s">
        <v>150</v>
      </c>
      <c r="C90" s="123">
        <f>C88*C87</f>
        <v>475</v>
      </c>
      <c r="D90" s="70"/>
      <c r="E90" s="70"/>
      <c r="F90" s="70"/>
      <c r="G90" s="70"/>
      <c r="H90" s="70"/>
      <c r="I90" s="24"/>
    </row>
    <row r="91" spans="2:11" x14ac:dyDescent="0.2">
      <c r="B91" s="6" t="s">
        <v>145</v>
      </c>
      <c r="C91" s="129">
        <v>6.5000000000000002E-2</v>
      </c>
      <c r="D91" s="70"/>
      <c r="E91" s="70"/>
      <c r="F91" s="70"/>
      <c r="G91" s="70"/>
      <c r="H91" s="70"/>
      <c r="I91" s="24"/>
    </row>
    <row r="92" spans="2:11" x14ac:dyDescent="0.2">
      <c r="B92" s="6" t="s">
        <v>50</v>
      </c>
      <c r="C92" s="129">
        <v>0.25</v>
      </c>
      <c r="D92" s="70"/>
      <c r="E92" s="70"/>
      <c r="F92" s="70"/>
      <c r="G92" s="70"/>
      <c r="H92" s="70"/>
      <c r="I92" s="24"/>
    </row>
    <row r="93" spans="2:11" x14ac:dyDescent="0.2">
      <c r="B93" s="6" t="s">
        <v>151</v>
      </c>
      <c r="C93" s="128">
        <v>2.98</v>
      </c>
      <c r="D93" s="70"/>
      <c r="E93" s="70"/>
      <c r="F93" s="70"/>
      <c r="G93" s="70"/>
      <c r="H93" s="70"/>
      <c r="I93" s="24"/>
    </row>
    <row r="94" spans="2:11" x14ac:dyDescent="0.2">
      <c r="B94" s="6" t="s">
        <v>146</v>
      </c>
      <c r="C94" s="130">
        <v>6.85</v>
      </c>
      <c r="D94" s="70"/>
      <c r="E94" s="70"/>
      <c r="F94" s="70"/>
      <c r="G94" s="70"/>
      <c r="H94" s="70"/>
      <c r="I94" s="24"/>
    </row>
    <row r="95" spans="2:11" x14ac:dyDescent="0.2">
      <c r="B95" s="13"/>
      <c r="C95" s="121"/>
      <c r="D95" s="70"/>
      <c r="E95" s="70"/>
      <c r="F95" s="70"/>
      <c r="G95" s="70"/>
      <c r="H95" s="70"/>
      <c r="I95" s="24"/>
    </row>
    <row r="96" spans="2:11" x14ac:dyDescent="0.2">
      <c r="B96" s="6" t="s">
        <v>152</v>
      </c>
      <c r="C96" s="122">
        <f>C90*C91</f>
        <v>30.875</v>
      </c>
      <c r="D96" s="70"/>
      <c r="E96" s="70"/>
      <c r="F96" s="70"/>
      <c r="G96" s="70"/>
      <c r="H96" s="70"/>
      <c r="I96" s="24"/>
    </row>
    <row r="97" spans="2:11" x14ac:dyDescent="0.2">
      <c r="B97" s="6" t="s">
        <v>153</v>
      </c>
      <c r="C97" s="127">
        <f>C96*(1-C92)</f>
        <v>23.15625</v>
      </c>
      <c r="D97" s="70"/>
      <c r="E97" s="70"/>
      <c r="F97" s="70"/>
      <c r="G97" s="70"/>
      <c r="H97" s="70"/>
      <c r="I97" s="24"/>
    </row>
    <row r="98" spans="2:11" x14ac:dyDescent="0.2">
      <c r="B98" s="13"/>
      <c r="C98" s="122"/>
      <c r="D98" s="70"/>
      <c r="E98" s="70"/>
      <c r="F98" s="70"/>
      <c r="G98" s="70"/>
      <c r="H98" s="70"/>
      <c r="I98" s="24"/>
    </row>
    <row r="99" spans="2:11" x14ac:dyDescent="0.2">
      <c r="B99" s="6" t="s">
        <v>154</v>
      </c>
      <c r="C99" s="128">
        <v>2041.3</v>
      </c>
      <c r="D99" s="70"/>
      <c r="E99" s="70"/>
      <c r="F99" s="70"/>
      <c r="G99" s="70"/>
      <c r="H99" s="70"/>
      <c r="I99" s="24"/>
    </row>
    <row r="100" spans="2:11" x14ac:dyDescent="0.2">
      <c r="B100" s="6" t="s">
        <v>155</v>
      </c>
      <c r="C100" s="122">
        <f>F18</f>
        <v>15.6</v>
      </c>
      <c r="D100" s="70"/>
      <c r="E100" s="70"/>
      <c r="F100" s="70"/>
      <c r="G100" s="70"/>
      <c r="H100" s="70"/>
      <c r="I100" s="24"/>
    </row>
    <row r="101" spans="2:11" x14ac:dyDescent="0.2">
      <c r="B101" s="6" t="s">
        <v>156</v>
      </c>
      <c r="C101" s="122">
        <f>C97</f>
        <v>23.15625</v>
      </c>
      <c r="D101" s="70"/>
      <c r="E101" s="70"/>
      <c r="F101" s="70"/>
      <c r="G101" s="70"/>
      <c r="H101" s="70"/>
      <c r="I101" s="24"/>
    </row>
    <row r="102" spans="2:11" x14ac:dyDescent="0.2">
      <c r="B102" s="13" t="s">
        <v>157</v>
      </c>
      <c r="C102" s="126">
        <f>C99+C100-C101</f>
        <v>2033.7437500000001</v>
      </c>
      <c r="D102" s="70"/>
      <c r="E102" s="70"/>
      <c r="F102" s="70"/>
      <c r="G102" s="70"/>
      <c r="H102" s="70"/>
      <c r="I102" s="24"/>
    </row>
    <row r="103" spans="2:11" x14ac:dyDescent="0.2">
      <c r="B103" s="6" t="s">
        <v>158</v>
      </c>
      <c r="C103" s="122">
        <f>C102/(C93*100)</f>
        <v>6.8246434563758394</v>
      </c>
      <c r="D103" s="70"/>
      <c r="E103" s="70"/>
      <c r="F103" s="70"/>
      <c r="G103" s="70"/>
      <c r="H103" s="70"/>
      <c r="I103" s="24"/>
    </row>
    <row r="104" spans="2:11" x14ac:dyDescent="0.2">
      <c r="B104" s="13" t="s">
        <v>159</v>
      </c>
      <c r="C104" s="125">
        <f>C103-C94</f>
        <v>-2.5356543624160288E-2</v>
      </c>
      <c r="D104" s="70"/>
      <c r="E104" s="70"/>
      <c r="F104" s="70"/>
      <c r="G104" s="70"/>
      <c r="H104" s="70"/>
      <c r="I104" s="24"/>
    </row>
    <row r="105" spans="2:11" x14ac:dyDescent="0.2">
      <c r="B105" s="6" t="s">
        <v>160</v>
      </c>
      <c r="C105" s="124">
        <f>C103/C94-1</f>
        <v>-3.7016852006073186E-3</v>
      </c>
      <c r="D105" s="70"/>
      <c r="E105" s="70"/>
      <c r="F105" s="70"/>
      <c r="G105" s="70"/>
      <c r="H105" s="70"/>
      <c r="I105" s="24"/>
    </row>
    <row r="106" spans="2:11" s="3" customFormat="1" ht="6" customHeight="1" x14ac:dyDescent="0.2">
      <c r="B106" s="4"/>
      <c r="C106" s="4"/>
      <c r="D106" s="4"/>
      <c r="E106" s="4"/>
      <c r="F106" s="4"/>
      <c r="G106" s="4"/>
      <c r="H106" s="4"/>
      <c r="I106" s="4"/>
      <c r="J106" s="4"/>
      <c r="K106" s="4"/>
    </row>
    <row r="107" spans="2:11" ht="14" customHeight="1" x14ac:dyDescent="0.2">
      <c r="B107" s="14" t="s">
        <v>29</v>
      </c>
      <c r="C107" s="14"/>
      <c r="D107" s="14"/>
      <c r="E107" s="14"/>
      <c r="F107" s="14"/>
      <c r="G107" s="14"/>
      <c r="H107" s="14"/>
      <c r="I107" s="14"/>
      <c r="J107" s="14"/>
    </row>
    <row r="108" spans="2:11" s="3" customFormat="1" ht="6" customHeight="1" x14ac:dyDescent="0.2">
      <c r="B108" s="4"/>
      <c r="C108" s="4"/>
      <c r="D108" s="4"/>
      <c r="E108" s="4"/>
      <c r="F108" s="4"/>
      <c r="G108" s="4"/>
      <c r="H108" s="4"/>
      <c r="I108" s="4"/>
      <c r="J108" s="4"/>
      <c r="K108" s="4"/>
    </row>
    <row r="109" spans="2:11" ht="14" customHeight="1" x14ac:dyDescent="0.2">
      <c r="B109" s="20" t="s">
        <v>6</v>
      </c>
      <c r="C109" s="15"/>
      <c r="D109" s="15"/>
      <c r="E109" s="15"/>
      <c r="F109" s="15"/>
      <c r="G109" s="15"/>
      <c r="H109" s="15"/>
      <c r="I109" s="15"/>
      <c r="J109" s="15"/>
    </row>
    <row r="110" spans="2:11" s="3" customFormat="1" ht="6" customHeight="1" x14ac:dyDescent="0.2">
      <c r="B110" s="4"/>
      <c r="C110" s="4"/>
      <c r="D110" s="4"/>
      <c r="E110" s="4"/>
      <c r="F110" s="4"/>
      <c r="G110" s="4"/>
      <c r="H110" s="4"/>
      <c r="I110" s="4"/>
      <c r="J110" s="4"/>
      <c r="K110" s="4"/>
    </row>
    <row r="111" spans="2:11" ht="14" customHeight="1" x14ac:dyDescent="0.2">
      <c r="F111" s="7" t="s">
        <v>1</v>
      </c>
      <c r="G111" s="7"/>
      <c r="H111" s="7"/>
      <c r="I111" s="7"/>
      <c r="J111" s="4"/>
    </row>
    <row r="112" spans="2:11" ht="14" customHeight="1" x14ac:dyDescent="0.2">
      <c r="E112" s="86">
        <v>2024</v>
      </c>
      <c r="F112" s="9">
        <f>F38</f>
        <v>2025</v>
      </c>
      <c r="G112" s="9">
        <f>G38</f>
        <v>2026</v>
      </c>
      <c r="H112" s="9">
        <f>H38</f>
        <v>2027</v>
      </c>
      <c r="I112" s="9">
        <f>I38</f>
        <v>2028</v>
      </c>
      <c r="J112" s="4"/>
    </row>
    <row r="113" spans="2:11" s="3" customFormat="1" ht="6" customHeight="1" x14ac:dyDescent="0.2">
      <c r="B113" s="4"/>
      <c r="C113" s="4"/>
      <c r="D113" s="4"/>
      <c r="E113" s="94"/>
      <c r="F113" s="94"/>
      <c r="G113" s="94"/>
      <c r="H113" s="94"/>
      <c r="I113" s="94"/>
      <c r="J113" s="4"/>
      <c r="K113" s="4"/>
    </row>
    <row r="114" spans="2:11" ht="14" customHeight="1" x14ac:dyDescent="0.2">
      <c r="B114" s="6" t="s">
        <v>24</v>
      </c>
      <c r="E114" s="102">
        <v>0.14799999999999999</v>
      </c>
      <c r="F114" s="26">
        <f>E114*(1+F115)</f>
        <v>0.15392</v>
      </c>
      <c r="G114" s="26">
        <f>F114*(1+G115)</f>
        <v>0.16007680000000002</v>
      </c>
      <c r="H114" s="26">
        <f>G114*(1+H115)</f>
        <v>0.16647987200000003</v>
      </c>
      <c r="I114" s="26">
        <f>H114*(1+I115)</f>
        <v>0.17313906688000003</v>
      </c>
    </row>
    <row r="115" spans="2:11" ht="14" customHeight="1" x14ac:dyDescent="0.2">
      <c r="B115" s="6" t="s">
        <v>30</v>
      </c>
      <c r="C115" s="24"/>
      <c r="E115" s="96"/>
      <c r="F115" s="90">
        <v>0.04</v>
      </c>
      <c r="G115" s="22">
        <f>F115</f>
        <v>0.04</v>
      </c>
      <c r="H115" s="22">
        <f t="shared" ref="H115:I115" si="19">G115</f>
        <v>0.04</v>
      </c>
      <c r="I115" s="22">
        <f t="shared" si="19"/>
        <v>0.04</v>
      </c>
    </row>
    <row r="116" spans="2:11" x14ac:dyDescent="0.2">
      <c r="B116" s="6" t="s">
        <v>31</v>
      </c>
      <c r="E116" s="96"/>
      <c r="F116" s="103">
        <v>85</v>
      </c>
      <c r="G116" s="41">
        <f>F116</f>
        <v>85</v>
      </c>
      <c r="H116" s="41">
        <f t="shared" ref="H116:I116" si="20">G116</f>
        <v>85</v>
      </c>
      <c r="I116" s="41">
        <f t="shared" si="20"/>
        <v>85</v>
      </c>
    </row>
    <row r="117" spans="2:11" x14ac:dyDescent="0.2">
      <c r="B117" s="6" t="s">
        <v>26</v>
      </c>
      <c r="E117" s="104">
        <v>1.1399999999999999</v>
      </c>
      <c r="F117" s="104">
        <v>1.1299999999999999</v>
      </c>
      <c r="G117" s="42">
        <f>F117</f>
        <v>1.1299999999999999</v>
      </c>
      <c r="H117" s="42">
        <f t="shared" ref="H117:I117" si="21">G117</f>
        <v>1.1299999999999999</v>
      </c>
      <c r="I117" s="42">
        <f t="shared" si="21"/>
        <v>1.1299999999999999</v>
      </c>
    </row>
    <row r="118" spans="2:11" x14ac:dyDescent="0.2">
      <c r="B118" s="6" t="s">
        <v>27</v>
      </c>
      <c r="E118" s="101">
        <v>0.95</v>
      </c>
      <c r="F118" s="21">
        <f>E118</f>
        <v>0.95</v>
      </c>
      <c r="G118" s="21">
        <f t="shared" ref="G118:I118" si="22">F118</f>
        <v>0.95</v>
      </c>
      <c r="H118" s="21">
        <f t="shared" si="22"/>
        <v>0.95</v>
      </c>
      <c r="I118" s="21">
        <f t="shared" si="22"/>
        <v>0.95</v>
      </c>
    </row>
    <row r="119" spans="2:11" x14ac:dyDescent="0.2">
      <c r="B119" s="6" t="s">
        <v>32</v>
      </c>
      <c r="E119" s="96"/>
      <c r="F119" s="101">
        <v>0.05</v>
      </c>
      <c r="G119" s="21">
        <f>F119</f>
        <v>0.05</v>
      </c>
      <c r="H119" s="21">
        <f t="shared" ref="H119:I119" si="23">G119</f>
        <v>0.05</v>
      </c>
      <c r="I119" s="21">
        <f t="shared" si="23"/>
        <v>0.05</v>
      </c>
    </row>
    <row r="120" spans="2:11" x14ac:dyDescent="0.2">
      <c r="B120" s="6" t="s">
        <v>20</v>
      </c>
      <c r="E120" s="96"/>
      <c r="F120" s="21">
        <f>F25</f>
        <v>0.17996742671009769</v>
      </c>
      <c r="G120" s="21">
        <f>G25</f>
        <v>0.22229551451187338</v>
      </c>
      <c r="H120" s="101">
        <v>0.25</v>
      </c>
      <c r="I120" s="101">
        <v>0.28000000000000003</v>
      </c>
    </row>
    <row r="121" spans="2:11" s="3" customFormat="1" ht="6" customHeight="1" x14ac:dyDescent="0.2">
      <c r="B121" s="4"/>
      <c r="C121" s="4"/>
      <c r="D121" s="4"/>
      <c r="E121" s="95"/>
      <c r="F121" s="95"/>
      <c r="G121" s="95"/>
      <c r="H121" s="95"/>
      <c r="I121" s="95"/>
      <c r="J121" s="4"/>
      <c r="K121" s="4"/>
    </row>
    <row r="122" spans="2:11" x14ac:dyDescent="0.2">
      <c r="B122" s="6" t="s">
        <v>33</v>
      </c>
      <c r="E122" s="29">
        <f>D9</f>
        <v>79</v>
      </c>
      <c r="F122" s="29">
        <f>E126</f>
        <v>104</v>
      </c>
      <c r="G122" s="29">
        <f t="shared" ref="G122:I122" si="24">F126</f>
        <v>131</v>
      </c>
      <c r="H122" s="29">
        <f t="shared" si="24"/>
        <v>162</v>
      </c>
      <c r="I122" s="29">
        <f t="shared" si="24"/>
        <v>189.11078911999999</v>
      </c>
    </row>
    <row r="123" spans="2:11" x14ac:dyDescent="0.2">
      <c r="B123" s="6" t="s">
        <v>39</v>
      </c>
      <c r="E123" s="96"/>
      <c r="F123" s="96"/>
      <c r="G123" s="96"/>
      <c r="H123" s="29">
        <f>H114*H116</f>
        <v>14.150789120000002</v>
      </c>
      <c r="I123" s="29">
        <f>I114*I116</f>
        <v>14.716820684800002</v>
      </c>
    </row>
    <row r="124" spans="2:11" x14ac:dyDescent="0.2">
      <c r="B124" s="6" t="s">
        <v>40</v>
      </c>
      <c r="E124" s="96"/>
      <c r="F124" s="96"/>
      <c r="G124" s="96"/>
      <c r="H124" s="29">
        <f>H122*(H117-1)</f>
        <v>21.059999999999981</v>
      </c>
      <c r="I124" s="29">
        <f>I122*(I117-1)</f>
        <v>24.584402585599978</v>
      </c>
    </row>
    <row r="125" spans="2:11" x14ac:dyDescent="0.2">
      <c r="B125" s="18" t="s">
        <v>41</v>
      </c>
      <c r="E125" s="96"/>
      <c r="F125" s="96"/>
      <c r="G125" s="96"/>
      <c r="H125" s="29">
        <f>-H122*(1-H118)</f>
        <v>-8.1000000000000068</v>
      </c>
      <c r="I125" s="29">
        <f>-I122*(1-I118)</f>
        <v>-9.4555394560000074</v>
      </c>
    </row>
    <row r="126" spans="2:11" x14ac:dyDescent="0.2">
      <c r="B126" s="13" t="s">
        <v>42</v>
      </c>
      <c r="C126" s="13"/>
      <c r="D126" s="13"/>
      <c r="E126" s="33">
        <f>E9</f>
        <v>104</v>
      </c>
      <c r="F126" s="33">
        <f>F9</f>
        <v>131</v>
      </c>
      <c r="G126" s="33">
        <f>G9</f>
        <v>162</v>
      </c>
      <c r="H126" s="33">
        <f>H122+H123+H124+H125</f>
        <v>189.11078911999999</v>
      </c>
      <c r="I126" s="33">
        <f>I122+I123+I124+I125</f>
        <v>218.95647293439998</v>
      </c>
    </row>
    <row r="127" spans="2:11" x14ac:dyDescent="0.2">
      <c r="B127" s="6" t="s">
        <v>34</v>
      </c>
      <c r="E127" s="96"/>
      <c r="F127" s="96"/>
      <c r="G127" s="96"/>
      <c r="H127" s="96">
        <v>9</v>
      </c>
      <c r="I127" s="96">
        <v>10</v>
      </c>
    </row>
    <row r="128" spans="2:11" x14ac:dyDescent="0.2">
      <c r="B128" s="13" t="s">
        <v>35</v>
      </c>
      <c r="C128" s="13"/>
      <c r="D128" s="13"/>
      <c r="E128" s="105"/>
      <c r="F128" s="105"/>
      <c r="G128" s="105"/>
      <c r="H128" s="33">
        <f>AVERAGE((H122,H126))+H127</f>
        <v>184.55539456</v>
      </c>
      <c r="I128" s="33">
        <f>AVERAGE((I122,I126))+I127</f>
        <v>214.03363102719999</v>
      </c>
    </row>
  </sheetData>
  <mergeCells count="1">
    <mergeCell ref="B79:B83"/>
  </mergeCells>
  <conditionalFormatting sqref="D87:H105 D79:H83">
    <cfRule type="colorScale" priority="2">
      <colorScale>
        <cfvo type="min"/>
        <cfvo type="percentile" val="50"/>
        <cfvo type="max"/>
        <color rgb="FFF8696B"/>
        <color rgb="FFFFEB84"/>
        <color rgb="FF63BE7B"/>
      </colorScale>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17D91-00FA-D04C-ABAB-54C2E27E866B}">
  <dimension ref="B1:S34"/>
  <sheetViews>
    <sheetView showGridLines="0" zoomScale="125" workbookViewId="0"/>
  </sheetViews>
  <sheetFormatPr baseColWidth="10" defaultRowHeight="14" x14ac:dyDescent="0.2"/>
  <cols>
    <col min="1" max="1" width="1.6640625" style="6" customWidth="1"/>
    <col min="2" max="2" width="25.33203125" style="6" bestFit="1" customWidth="1"/>
    <col min="3" max="3" width="1.5" style="6" customWidth="1"/>
    <col min="4" max="4" width="8.6640625" style="6" bestFit="1" customWidth="1"/>
    <col min="5" max="5" width="7.5" style="6" bestFit="1" customWidth="1"/>
    <col min="6" max="6" width="8.83203125" style="6" bestFit="1" customWidth="1"/>
    <col min="7" max="7" width="6.83203125" style="6" bestFit="1" customWidth="1"/>
    <col min="8" max="8" width="1.5" style="6" customWidth="1"/>
    <col min="9" max="9" width="10" style="6" bestFit="1" customWidth="1"/>
    <col min="10" max="10" width="7.1640625" style="6" bestFit="1" customWidth="1"/>
    <col min="11" max="11" width="6.33203125" style="6" bestFit="1" customWidth="1"/>
    <col min="12" max="12" width="1.83203125" style="6" customWidth="1"/>
    <col min="13" max="13" width="25.33203125" style="6" bestFit="1" customWidth="1"/>
    <col min="14" max="14" width="11.33203125" style="6" bestFit="1" customWidth="1"/>
    <col min="15" max="15" width="7.5" style="6" bestFit="1" customWidth="1"/>
    <col min="16" max="16" width="1.5" style="6" customWidth="1"/>
    <col min="17" max="17" width="7.6640625" style="6" bestFit="1" customWidth="1"/>
    <col min="18" max="18" width="10.1640625" style="6" bestFit="1" customWidth="1"/>
    <col min="19" max="19" width="10" style="6" bestFit="1" customWidth="1"/>
    <col min="20" max="16384" width="10.83203125" style="6"/>
  </cols>
  <sheetData>
    <row r="1" spans="2:19" x14ac:dyDescent="0.2">
      <c r="B1" s="13" t="s">
        <v>52</v>
      </c>
      <c r="M1" s="13" t="s">
        <v>53</v>
      </c>
      <c r="N1" s="13"/>
      <c r="O1" s="13"/>
    </row>
    <row r="2" spans="2:19" s="3" customFormat="1" ht="6" customHeight="1" x14ac:dyDescent="0.2">
      <c r="B2" s="4"/>
      <c r="C2" s="4"/>
      <c r="D2" s="4"/>
      <c r="E2" s="4"/>
      <c r="F2" s="4"/>
      <c r="G2" s="4"/>
      <c r="H2" s="4"/>
      <c r="I2" s="4"/>
      <c r="J2" s="4"/>
      <c r="P2" s="4"/>
    </row>
    <row r="3" spans="2:19" x14ac:dyDescent="0.2">
      <c r="B3" s="43" t="s">
        <v>54</v>
      </c>
      <c r="D3" s="44" t="s">
        <v>55</v>
      </c>
      <c r="E3" s="44"/>
      <c r="F3" s="44"/>
      <c r="G3" s="44"/>
      <c r="H3" s="12"/>
      <c r="I3" s="44" t="s">
        <v>56</v>
      </c>
      <c r="J3" s="44"/>
      <c r="K3" s="44"/>
      <c r="M3" s="44" t="s">
        <v>54</v>
      </c>
      <c r="N3" s="44"/>
      <c r="O3" s="44"/>
      <c r="Q3" s="44" t="s">
        <v>56</v>
      </c>
      <c r="R3" s="44"/>
      <c r="S3" s="44"/>
    </row>
    <row r="4" spans="2:19" s="1" customFormat="1" ht="3" customHeight="1" x14ac:dyDescent="0.2">
      <c r="B4" s="10"/>
      <c r="C4" s="6"/>
      <c r="D4" s="10"/>
      <c r="E4" s="10"/>
      <c r="F4" s="10"/>
      <c r="G4" s="10"/>
      <c r="H4" s="6"/>
      <c r="I4" s="6"/>
      <c r="J4" s="2"/>
      <c r="M4" s="10"/>
      <c r="N4" s="39"/>
      <c r="O4" s="39"/>
      <c r="P4" s="6"/>
      <c r="Q4" s="6"/>
      <c r="R4" s="2"/>
    </row>
    <row r="5" spans="2:19" ht="15" x14ac:dyDescent="0.2">
      <c r="B5" s="45" t="s">
        <v>72</v>
      </c>
      <c r="C5" s="14"/>
      <c r="D5" s="46" t="s">
        <v>57</v>
      </c>
      <c r="E5" s="45" t="s">
        <v>58</v>
      </c>
      <c r="F5" s="45" t="s">
        <v>35</v>
      </c>
      <c r="G5" s="45" t="s">
        <v>12</v>
      </c>
      <c r="H5" s="45"/>
      <c r="I5" s="45" t="s">
        <v>70</v>
      </c>
      <c r="J5" s="45" t="s">
        <v>59</v>
      </c>
      <c r="K5" s="45" t="s">
        <v>59</v>
      </c>
      <c r="M5" s="45" t="s">
        <v>81</v>
      </c>
      <c r="N5" s="45" t="s">
        <v>82</v>
      </c>
      <c r="O5" s="45" t="s">
        <v>80</v>
      </c>
      <c r="P5" s="14"/>
      <c r="Q5" s="45" t="s">
        <v>91</v>
      </c>
      <c r="R5" s="45" t="s">
        <v>59</v>
      </c>
      <c r="S5" s="45" t="str">
        <f>I5</f>
        <v>Net Revenue</v>
      </c>
    </row>
    <row r="6" spans="2:19" x14ac:dyDescent="0.2">
      <c r="B6" s="45" t="s">
        <v>73</v>
      </c>
      <c r="C6" s="14"/>
      <c r="D6" s="45" t="s">
        <v>60</v>
      </c>
      <c r="E6" s="45" t="s">
        <v>61</v>
      </c>
      <c r="F6" s="45" t="s">
        <v>69</v>
      </c>
      <c r="G6" s="45" t="s">
        <v>62</v>
      </c>
      <c r="H6" s="45"/>
      <c r="I6" s="45" t="s">
        <v>71</v>
      </c>
      <c r="J6" s="45" t="s">
        <v>35</v>
      </c>
      <c r="K6" s="45" t="s">
        <v>12</v>
      </c>
      <c r="M6" s="45" t="s">
        <v>73</v>
      </c>
      <c r="N6" s="45" t="str">
        <f>M6</f>
        <v>Name</v>
      </c>
      <c r="O6" s="45" t="s">
        <v>79</v>
      </c>
      <c r="P6" s="14"/>
      <c r="Q6" s="45" t="s">
        <v>92</v>
      </c>
      <c r="R6" s="45" t="s">
        <v>93</v>
      </c>
      <c r="S6" s="45" t="str">
        <f>I6</f>
        <v>Retention</v>
      </c>
    </row>
    <row r="7" spans="2:19" s="3" customFormat="1" ht="6" customHeight="1" x14ac:dyDescent="0.2">
      <c r="B7" s="4"/>
      <c r="C7" s="4"/>
      <c r="D7" s="4"/>
      <c r="E7" s="4"/>
      <c r="F7" s="4"/>
      <c r="G7" s="4"/>
      <c r="H7" s="4"/>
      <c r="I7" s="4"/>
      <c r="J7" s="4"/>
      <c r="M7" s="4"/>
      <c r="N7" s="4"/>
      <c r="O7" s="4"/>
      <c r="P7" s="4"/>
      <c r="Q7" s="4"/>
      <c r="R7" s="4"/>
    </row>
    <row r="8" spans="2:19" x14ac:dyDescent="0.2">
      <c r="B8" s="6" t="s">
        <v>74</v>
      </c>
      <c r="D8" s="47">
        <f>3.2*1000</f>
        <v>3200</v>
      </c>
      <c r="E8" s="106">
        <v>410</v>
      </c>
      <c r="F8" s="107">
        <v>0.28000000000000003</v>
      </c>
      <c r="G8" s="106">
        <v>78</v>
      </c>
      <c r="H8" s="108"/>
      <c r="I8" s="107">
        <v>1.1200000000000001</v>
      </c>
      <c r="J8" s="49">
        <f>D8/E8</f>
        <v>7.8048780487804876</v>
      </c>
      <c r="K8" s="49">
        <f>D8/G8</f>
        <v>41.025641025641029</v>
      </c>
      <c r="M8" s="38" t="s">
        <v>86</v>
      </c>
      <c r="N8" s="38" t="s">
        <v>87</v>
      </c>
      <c r="O8" s="50">
        <v>45352</v>
      </c>
      <c r="Q8" s="109">
        <v>9.1999999999999993</v>
      </c>
      <c r="R8" s="109">
        <v>52</v>
      </c>
      <c r="S8" s="107">
        <v>1.1599999999999999</v>
      </c>
    </row>
    <row r="9" spans="2:19" x14ac:dyDescent="0.2">
      <c r="B9" s="6" t="s">
        <v>75</v>
      </c>
      <c r="D9" s="106">
        <v>1800</v>
      </c>
      <c r="E9" s="106">
        <v>198</v>
      </c>
      <c r="F9" s="107">
        <v>0.31</v>
      </c>
      <c r="G9" s="106">
        <v>32</v>
      </c>
      <c r="H9" s="108"/>
      <c r="I9" s="107">
        <v>1.17</v>
      </c>
      <c r="J9" s="49">
        <f>$D9/E9</f>
        <v>9.0909090909090917</v>
      </c>
      <c r="K9" s="49">
        <f>$D9/G9</f>
        <v>56.25</v>
      </c>
      <c r="M9" s="38" t="s">
        <v>85</v>
      </c>
      <c r="N9" s="38" t="s">
        <v>88</v>
      </c>
      <c r="O9" s="50">
        <v>45170</v>
      </c>
      <c r="Q9" s="109">
        <v>8.1</v>
      </c>
      <c r="R9" s="109">
        <v>48</v>
      </c>
      <c r="S9" s="107">
        <v>1.1100000000000001</v>
      </c>
    </row>
    <row r="10" spans="2:19" x14ac:dyDescent="0.2">
      <c r="B10" s="6" t="s">
        <v>76</v>
      </c>
      <c r="D10" s="106">
        <v>5600</v>
      </c>
      <c r="E10" s="106">
        <v>890</v>
      </c>
      <c r="F10" s="107">
        <v>0.19</v>
      </c>
      <c r="G10" s="106">
        <v>214</v>
      </c>
      <c r="H10" s="108"/>
      <c r="I10" s="107">
        <v>1.08</v>
      </c>
      <c r="J10" s="49">
        <f>$D10/E10</f>
        <v>6.2921348314606744</v>
      </c>
      <c r="K10" s="49">
        <f>$D10/G10</f>
        <v>26.168224299065422</v>
      </c>
      <c r="M10" s="38" t="s">
        <v>84</v>
      </c>
      <c r="N10" s="38" t="s">
        <v>89</v>
      </c>
      <c r="O10" s="50">
        <v>44866</v>
      </c>
      <c r="Q10" s="109">
        <v>7.4</v>
      </c>
      <c r="R10" s="109">
        <v>44</v>
      </c>
      <c r="S10" s="107">
        <v>1.08</v>
      </c>
    </row>
    <row r="11" spans="2:19" x14ac:dyDescent="0.2">
      <c r="B11" s="6" t="s">
        <v>77</v>
      </c>
      <c r="D11" s="106">
        <v>900</v>
      </c>
      <c r="E11" s="106">
        <v>134</v>
      </c>
      <c r="F11" s="107">
        <v>0.41</v>
      </c>
      <c r="G11" s="106">
        <v>18</v>
      </c>
      <c r="H11" s="108"/>
      <c r="I11" s="107">
        <v>1.19</v>
      </c>
      <c r="J11" s="49">
        <f>$D11/E11</f>
        <v>6.7164179104477615</v>
      </c>
      <c r="K11" s="49">
        <f>$D11/G11</f>
        <v>50</v>
      </c>
      <c r="M11" s="38" t="s">
        <v>83</v>
      </c>
      <c r="N11" s="38" t="s">
        <v>90</v>
      </c>
      <c r="O11" s="50">
        <v>44713</v>
      </c>
      <c r="Q11" s="109">
        <v>8.8000000000000007</v>
      </c>
      <c r="R11" s="109">
        <v>51</v>
      </c>
      <c r="S11" s="107">
        <v>1.1299999999999999</v>
      </c>
    </row>
    <row r="12" spans="2:19" x14ac:dyDescent="0.2">
      <c r="B12" s="6" t="s">
        <v>78</v>
      </c>
      <c r="D12" s="106">
        <v>2400</v>
      </c>
      <c r="E12" s="106">
        <v>312</v>
      </c>
      <c r="F12" s="107">
        <v>0.22</v>
      </c>
      <c r="G12" s="106">
        <v>71</v>
      </c>
      <c r="H12" s="108"/>
      <c r="I12" s="107">
        <v>1.1000000000000001</v>
      </c>
      <c r="J12" s="49">
        <f>$D12/E12</f>
        <v>7.6923076923076925</v>
      </c>
      <c r="K12" s="49">
        <f>$D12/G12</f>
        <v>33.802816901408448</v>
      </c>
      <c r="Q12" s="48"/>
      <c r="R12" s="49"/>
      <c r="S12" s="49"/>
    </row>
    <row r="13" spans="2:19" s="3" customFormat="1" ht="6" customHeight="1" x14ac:dyDescent="0.2">
      <c r="B13" s="4"/>
      <c r="C13" s="4"/>
      <c r="D13" s="32"/>
      <c r="E13" s="32"/>
      <c r="F13" s="4"/>
      <c r="G13" s="32"/>
      <c r="H13" s="4"/>
      <c r="I13" s="4"/>
      <c r="J13" s="4"/>
      <c r="M13" s="4"/>
      <c r="N13" s="4"/>
      <c r="O13" s="4"/>
      <c r="P13" s="4"/>
      <c r="Q13" s="4"/>
      <c r="R13" s="4"/>
    </row>
    <row r="14" spans="2:19" x14ac:dyDescent="0.2">
      <c r="B14" s="51" t="str">
        <f>'Valuation Model'!B2&amp;(" NTM")</f>
        <v>NovaPeak Software Inc NTM</v>
      </c>
      <c r="C14" s="51"/>
      <c r="D14" s="52"/>
      <c r="E14" s="53">
        <f>'Valuation Model'!G10</f>
        <v>151.6</v>
      </c>
      <c r="F14" s="54">
        <f>'Valuation Model'!G22</f>
        <v>0.23452768729641682</v>
      </c>
      <c r="G14" s="53">
        <f>'Valuation Model'!G14</f>
        <v>33.700000000000003</v>
      </c>
      <c r="H14" s="55"/>
      <c r="I14" s="54">
        <f>'Valuation Model'!E117</f>
        <v>1.1399999999999999</v>
      </c>
      <c r="J14" s="56">
        <f>(1-D22)*J17</f>
        <v>6.5384615384615383</v>
      </c>
      <c r="K14" s="56">
        <f>(1-D22)*K17</f>
        <v>34.871794871794876</v>
      </c>
      <c r="M14" s="51" t="str">
        <f>B14</f>
        <v>NovaPeak Software Inc NTM</v>
      </c>
      <c r="N14" s="51"/>
      <c r="O14" s="51"/>
      <c r="P14" s="51"/>
      <c r="Q14" s="61">
        <f>Q17</f>
        <v>8.4499999999999993</v>
      </c>
      <c r="R14" s="56">
        <f>R17</f>
        <v>49.5</v>
      </c>
      <c r="S14" s="54">
        <f>S17</f>
        <v>1.1200000000000001</v>
      </c>
    </row>
    <row r="15" spans="2:19" s="3" customFormat="1" ht="6" customHeight="1" x14ac:dyDescent="0.2">
      <c r="B15" s="4"/>
      <c r="C15" s="4"/>
      <c r="D15" s="32"/>
      <c r="E15" s="32"/>
      <c r="F15" s="4"/>
      <c r="G15" s="32"/>
      <c r="H15" s="4"/>
      <c r="I15" s="4"/>
      <c r="J15" s="4"/>
      <c r="M15" s="4"/>
      <c r="N15" s="4"/>
      <c r="O15" s="4"/>
      <c r="P15" s="4"/>
      <c r="Q15" s="4"/>
      <c r="R15" s="4"/>
    </row>
    <row r="16" spans="2:19" x14ac:dyDescent="0.2">
      <c r="B16" s="20" t="s">
        <v>63</v>
      </c>
      <c r="C16" s="20"/>
      <c r="D16" s="57">
        <f>MIN(D8:D12)</f>
        <v>900</v>
      </c>
      <c r="E16" s="57">
        <f>MIN(E8:E12)</f>
        <v>134</v>
      </c>
      <c r="F16" s="58">
        <f>MIN(F8:F12)</f>
        <v>0.19</v>
      </c>
      <c r="G16" s="57">
        <f>MIN(G8:G12)</f>
        <v>18</v>
      </c>
      <c r="H16" s="112"/>
      <c r="I16" s="58">
        <f>MIN(I8:I12)</f>
        <v>1.08</v>
      </c>
      <c r="J16" s="59">
        <f>MIN(J8:J12)</f>
        <v>6.2921348314606744</v>
      </c>
      <c r="K16" s="59">
        <f>MIN(K8:K12)</f>
        <v>26.168224299065422</v>
      </c>
      <c r="M16" s="20" t="s">
        <v>63</v>
      </c>
      <c r="N16" s="20"/>
      <c r="O16" s="20"/>
      <c r="P16" s="20"/>
      <c r="Q16" s="60">
        <f>MIN(Q8:Q12)</f>
        <v>7.4</v>
      </c>
      <c r="R16" s="59">
        <f>MIN(R8:R12)</f>
        <v>44</v>
      </c>
      <c r="S16" s="58">
        <f>MIN(S8:S12)</f>
        <v>1.08</v>
      </c>
    </row>
    <row r="17" spans="2:19" x14ac:dyDescent="0.2">
      <c r="B17" s="20" t="s">
        <v>64</v>
      </c>
      <c r="C17" s="20"/>
      <c r="D17" s="57">
        <f>MEDIAN(D8:D12)</f>
        <v>2400</v>
      </c>
      <c r="E17" s="57">
        <f>MEDIAN(E8:E12)</f>
        <v>312</v>
      </c>
      <c r="F17" s="58">
        <f>MEDIAN(F8:F12)</f>
        <v>0.28000000000000003</v>
      </c>
      <c r="G17" s="57">
        <f>MEDIAN(G8:G12)</f>
        <v>71</v>
      </c>
      <c r="H17" s="113"/>
      <c r="I17" s="58">
        <f>MEDIAN(I8:I12)</f>
        <v>1.1200000000000001</v>
      </c>
      <c r="J17" s="59">
        <f>MEDIAN(J8:J12)</f>
        <v>7.6923076923076925</v>
      </c>
      <c r="K17" s="59">
        <f>MEDIAN(K8:K12)</f>
        <v>41.025641025641029</v>
      </c>
      <c r="M17" s="20" t="s">
        <v>64</v>
      </c>
      <c r="N17" s="20"/>
      <c r="O17" s="20"/>
      <c r="P17" s="20"/>
      <c r="Q17" s="60">
        <f>MEDIAN(Q8:Q12)</f>
        <v>8.4499999999999993</v>
      </c>
      <c r="R17" s="59">
        <f>MEDIAN(R8:R12)</f>
        <v>49.5</v>
      </c>
      <c r="S17" s="58">
        <f>MEDIAN(S8:S12)</f>
        <v>1.1200000000000001</v>
      </c>
    </row>
    <row r="18" spans="2:19" x14ac:dyDescent="0.2">
      <c r="B18" s="20" t="s">
        <v>65</v>
      </c>
      <c r="C18" s="20"/>
      <c r="D18" s="57">
        <f>AVERAGE(D8:D12)</f>
        <v>2780</v>
      </c>
      <c r="E18" s="57">
        <f>AVERAGE(E8:E12)</f>
        <v>388.8</v>
      </c>
      <c r="F18" s="58">
        <f>AVERAGE(F8:F12)</f>
        <v>0.28199999999999997</v>
      </c>
      <c r="G18" s="57">
        <f>AVERAGE(G8:G12)</f>
        <v>82.6</v>
      </c>
      <c r="H18" s="113"/>
      <c r="I18" s="58">
        <f>AVERAGE(I8:I12)</f>
        <v>1.1320000000000001</v>
      </c>
      <c r="J18" s="59">
        <f>AVERAGE(J8:J12)</f>
        <v>7.519329514781143</v>
      </c>
      <c r="K18" s="59">
        <f>AVERAGE(K8:K12)</f>
        <v>41.449336445222983</v>
      </c>
      <c r="M18" s="20" t="s">
        <v>65</v>
      </c>
      <c r="N18" s="20"/>
      <c r="O18" s="20"/>
      <c r="P18" s="20"/>
      <c r="Q18" s="60">
        <f>AVERAGE(Q8:Q12)</f>
        <v>8.375</v>
      </c>
      <c r="R18" s="59">
        <f>AVERAGE(R8:R12)</f>
        <v>48.75</v>
      </c>
      <c r="S18" s="58">
        <f>AVERAGE(S8:S12)</f>
        <v>1.1200000000000001</v>
      </c>
    </row>
    <row r="19" spans="2:19" x14ac:dyDescent="0.2">
      <c r="B19" s="20" t="s">
        <v>66</v>
      </c>
      <c r="C19" s="20"/>
      <c r="D19" s="57">
        <f>MAX(D8:D12)</f>
        <v>5600</v>
      </c>
      <c r="E19" s="57">
        <f>MAX(E8:E12)</f>
        <v>890</v>
      </c>
      <c r="F19" s="58">
        <f>MAX(F8:F12)</f>
        <v>0.41</v>
      </c>
      <c r="G19" s="57">
        <f>MAX(G8:G12)</f>
        <v>214</v>
      </c>
      <c r="H19" s="113"/>
      <c r="I19" s="58">
        <f>MAX(I8:I12)</f>
        <v>1.19</v>
      </c>
      <c r="J19" s="59">
        <f>MAX(J8:J12)</f>
        <v>9.0909090909090917</v>
      </c>
      <c r="K19" s="59">
        <f>MAX(K8:K12)</f>
        <v>56.25</v>
      </c>
      <c r="M19" s="20" t="s">
        <v>66</v>
      </c>
      <c r="N19" s="20"/>
      <c r="O19" s="20"/>
      <c r="P19" s="20"/>
      <c r="Q19" s="60">
        <f>MAX(Q8:Q12)</f>
        <v>9.1999999999999993</v>
      </c>
      <c r="R19" s="59">
        <f>MAX(R8:R12)</f>
        <v>52</v>
      </c>
      <c r="S19" s="58">
        <f>MAX(S8:S12)</f>
        <v>1.1599999999999999</v>
      </c>
    </row>
    <row r="20" spans="2:19" x14ac:dyDescent="0.2">
      <c r="B20" s="20" t="s">
        <v>67</v>
      </c>
      <c r="C20" s="20"/>
      <c r="D20" s="110"/>
      <c r="E20" s="110"/>
      <c r="F20" s="111"/>
      <c r="G20" s="110"/>
      <c r="H20" s="113"/>
      <c r="I20" s="111"/>
      <c r="J20" s="59">
        <f>_xlfn.PERCENTILE.EXC(J8:J12, 0.25)</f>
        <v>6.5042763709542175</v>
      </c>
      <c r="K20" s="59">
        <f>_xlfn.PERCENTILE.EXC(K8:K12, 0.25)</f>
        <v>29.985520600236935</v>
      </c>
      <c r="M20" s="20" t="str">
        <f>B20</f>
        <v>25th Percentile</v>
      </c>
      <c r="N20" s="20"/>
      <c r="O20" s="20"/>
      <c r="P20" s="20"/>
      <c r="Q20" s="59">
        <f>_xlfn.PERCENTILE.EXC(Q8:Q11, 0.25)</f>
        <v>7.5750000000000002</v>
      </c>
      <c r="R20" s="59">
        <f>_xlfn.PERCENTILE.EXC(R8:R11, 0.25)</f>
        <v>45</v>
      </c>
      <c r="S20" s="111"/>
    </row>
    <row r="21" spans="2:19" x14ac:dyDescent="0.2">
      <c r="B21" s="20" t="s">
        <v>68</v>
      </c>
      <c r="C21" s="20"/>
      <c r="D21" s="110"/>
      <c r="E21" s="110"/>
      <c r="F21" s="111"/>
      <c r="G21" s="110"/>
      <c r="H21" s="113"/>
      <c r="I21" s="111"/>
      <c r="J21" s="59">
        <f>_xlfn.PERCENTILE.EXC(J8:J12, 0.75)</f>
        <v>8.4478935698447906</v>
      </c>
      <c r="K21" s="59">
        <f>_xlfn.PERCENTILE.EXC(K8:K12, 0.75)</f>
        <v>53.125</v>
      </c>
      <c r="M21" s="20" t="str">
        <f>B21</f>
        <v>75th Percentile</v>
      </c>
      <c r="N21" s="20"/>
      <c r="O21" s="20"/>
      <c r="P21" s="20"/>
      <c r="Q21" s="59">
        <f>_xlfn.PERCENTILE.EXC(Q8:Q11, 0.75)</f>
        <v>9.1</v>
      </c>
      <c r="R21" s="59">
        <f>_xlfn.PERCENTILE.EXC(R8:R11, 0.75)</f>
        <v>51.75</v>
      </c>
      <c r="S21" s="111"/>
    </row>
    <row r="22" spans="2:19" x14ac:dyDescent="0.2">
      <c r="B22" s="6" t="s">
        <v>94</v>
      </c>
      <c r="D22" s="93">
        <v>0.15</v>
      </c>
    </row>
    <row r="23" spans="2:19" s="3" customFormat="1" ht="6" customHeight="1" x14ac:dyDescent="0.2">
      <c r="B23" s="4"/>
      <c r="C23" s="4"/>
      <c r="D23" s="114"/>
      <c r="E23" s="32"/>
      <c r="F23" s="4"/>
      <c r="G23" s="32"/>
      <c r="H23" s="4"/>
      <c r="I23" s="4"/>
      <c r="J23" s="4"/>
      <c r="M23" s="4"/>
      <c r="N23" s="4"/>
      <c r="O23" s="4"/>
      <c r="P23" s="4"/>
      <c r="Q23" s="4"/>
      <c r="R23" s="4"/>
    </row>
    <row r="24" spans="2:19" x14ac:dyDescent="0.2">
      <c r="B24" s="6" t="s">
        <v>95</v>
      </c>
      <c r="D24" s="23">
        <f>E14*J14</f>
        <v>991.23076923076917</v>
      </c>
      <c r="M24" s="6" t="str">
        <f>B24</f>
        <v>Enterprise Value (EV/ NTM Rev)</v>
      </c>
      <c r="N24" s="23">
        <f>E14*Q14</f>
        <v>1281.0199999999998</v>
      </c>
    </row>
    <row r="25" spans="2:19" x14ac:dyDescent="0.2">
      <c r="B25" s="6" t="s">
        <v>97</v>
      </c>
      <c r="D25" s="23">
        <f>'Valuation Model'!E30</f>
        <v>13.3</v>
      </c>
      <c r="M25" s="6" t="str">
        <f>B25</f>
        <v>Net Cash</v>
      </c>
      <c r="N25" s="23">
        <f>D25</f>
        <v>13.3</v>
      </c>
    </row>
    <row r="26" spans="2:19" x14ac:dyDescent="0.2">
      <c r="B26" s="6" t="s">
        <v>99</v>
      </c>
      <c r="D26" s="23">
        <f>D24-D25</f>
        <v>977.93076923076922</v>
      </c>
      <c r="M26" s="6" t="str">
        <f t="shared" ref="M26:M34" si="0">B26</f>
        <v>Implied Equity Value</v>
      </c>
      <c r="N26" s="23">
        <f>N24-N25</f>
        <v>1267.7199999999998</v>
      </c>
    </row>
    <row r="27" spans="2:19" x14ac:dyDescent="0.2">
      <c r="B27" s="6" t="s">
        <v>101</v>
      </c>
      <c r="D27" s="23">
        <f>'Valuation Model'!E31</f>
        <v>8.5</v>
      </c>
      <c r="M27" s="6" t="str">
        <f t="shared" si="0"/>
        <v>Shares Outstanding (M)</v>
      </c>
      <c r="N27" s="23">
        <f>D27</f>
        <v>8.5</v>
      </c>
    </row>
    <row r="28" spans="2:19" x14ac:dyDescent="0.2">
      <c r="B28" s="13" t="s">
        <v>100</v>
      </c>
      <c r="C28" s="13"/>
      <c r="D28" s="37">
        <f>D26/D27</f>
        <v>115.05067873303167</v>
      </c>
      <c r="M28" s="13" t="str">
        <f t="shared" si="0"/>
        <v>Implied Equity Value Per Share</v>
      </c>
      <c r="N28" s="62">
        <f>N26/N27</f>
        <v>149.14352941176469</v>
      </c>
    </row>
    <row r="29" spans="2:19" s="3" customFormat="1" ht="6" customHeight="1" x14ac:dyDescent="0.2">
      <c r="B29" s="4"/>
      <c r="C29" s="4"/>
      <c r="D29" s="114"/>
      <c r="E29" s="32"/>
      <c r="F29" s="4"/>
      <c r="G29" s="32"/>
      <c r="H29" s="4"/>
      <c r="I29" s="4"/>
      <c r="J29" s="4"/>
      <c r="M29" s="6"/>
      <c r="N29" s="94"/>
      <c r="O29" s="4"/>
      <c r="P29" s="4"/>
      <c r="Q29" s="4"/>
      <c r="R29" s="4"/>
    </row>
    <row r="30" spans="2:19" x14ac:dyDescent="0.2">
      <c r="B30" s="6" t="s">
        <v>96</v>
      </c>
      <c r="D30" s="23">
        <f>G14*K14</f>
        <v>1175.1794871794875</v>
      </c>
      <c r="M30" s="6" t="str">
        <f t="shared" si="0"/>
        <v>Enterprise Value (EV/ NTM EBITDA)</v>
      </c>
      <c r="N30" s="23">
        <f>G14*R14</f>
        <v>1668.15</v>
      </c>
    </row>
    <row r="31" spans="2:19" x14ac:dyDescent="0.2">
      <c r="B31" s="6" t="str">
        <f>B25</f>
        <v>Net Cash</v>
      </c>
      <c r="D31" s="23">
        <f>D25</f>
        <v>13.3</v>
      </c>
      <c r="M31" s="6" t="str">
        <f t="shared" si="0"/>
        <v>Net Cash</v>
      </c>
      <c r="N31" s="23">
        <f>D31</f>
        <v>13.3</v>
      </c>
    </row>
    <row r="32" spans="2:19" x14ac:dyDescent="0.2">
      <c r="B32" s="6" t="s">
        <v>99</v>
      </c>
      <c r="D32" s="23">
        <f>D30-D31</f>
        <v>1161.8794871794876</v>
      </c>
      <c r="M32" s="6" t="str">
        <f t="shared" si="0"/>
        <v>Implied Equity Value</v>
      </c>
      <c r="N32" s="23">
        <f>N30-N31</f>
        <v>1654.8500000000001</v>
      </c>
    </row>
    <row r="33" spans="2:14" x14ac:dyDescent="0.2">
      <c r="B33" s="6" t="s">
        <v>101</v>
      </c>
      <c r="D33" s="23">
        <f>D27</f>
        <v>8.5</v>
      </c>
      <c r="M33" s="6" t="str">
        <f t="shared" si="0"/>
        <v>Shares Outstanding (M)</v>
      </c>
      <c r="N33" s="23">
        <f>D33</f>
        <v>8.5</v>
      </c>
    </row>
    <row r="34" spans="2:14" x14ac:dyDescent="0.2">
      <c r="B34" s="13" t="s">
        <v>100</v>
      </c>
      <c r="C34" s="13"/>
      <c r="D34" s="36">
        <f>D32/D33</f>
        <v>136.69170437405737</v>
      </c>
      <c r="M34" s="13" t="str">
        <f t="shared" si="0"/>
        <v>Implied Equity Value Per Share</v>
      </c>
      <c r="N34" s="62">
        <f>N32/N33</f>
        <v>194.68823529411767</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A16E-0B44-E148-9910-E271C5F7D7AA}">
  <dimension ref="B1:R18"/>
  <sheetViews>
    <sheetView showGridLines="0" zoomScale="84" zoomScaleNormal="87" workbookViewId="0"/>
  </sheetViews>
  <sheetFormatPr baseColWidth="10" defaultColWidth="9" defaultRowHeight="14" x14ac:dyDescent="0.2"/>
  <cols>
    <col min="1" max="1" width="1.6640625" style="74" customWidth="1"/>
    <col min="2" max="2" width="18.6640625" style="74" bestFit="1" customWidth="1"/>
    <col min="3" max="3" width="12.33203125" style="74" bestFit="1" customWidth="1"/>
    <col min="4" max="4" width="1.6640625" style="74" customWidth="1"/>
    <col min="5" max="5" width="5" style="74" bestFit="1" customWidth="1"/>
    <col min="6" max="6" width="13" style="74" bestFit="1" customWidth="1"/>
    <col min="7" max="8" width="5.6640625" style="74" bestFit="1" customWidth="1"/>
    <col min="9" max="9" width="7.5" style="74" bestFit="1" customWidth="1"/>
    <col min="10" max="11" width="8" style="74" bestFit="1" customWidth="1"/>
    <col min="12" max="12" width="8.1640625" style="74" bestFit="1" customWidth="1"/>
    <col min="13" max="13" width="5.1640625" style="74" bestFit="1" customWidth="1"/>
    <col min="14" max="14" width="10.6640625" style="74" bestFit="1" customWidth="1"/>
    <col min="15" max="15" width="13" style="74" bestFit="1" customWidth="1"/>
    <col min="16" max="16384" width="9" style="74"/>
  </cols>
  <sheetData>
    <row r="1" spans="2:18" s="3" customFormat="1" ht="6" customHeight="1" x14ac:dyDescent="0.2">
      <c r="B1" s="4"/>
      <c r="C1" s="4"/>
      <c r="D1" s="4"/>
      <c r="E1" s="4"/>
      <c r="F1" s="4"/>
      <c r="G1" s="4"/>
      <c r="H1" s="4"/>
      <c r="I1" s="4"/>
      <c r="J1" s="4"/>
      <c r="M1" s="4"/>
      <c r="N1" s="4"/>
      <c r="O1" s="4"/>
      <c r="P1" s="4"/>
      <c r="Q1" s="4"/>
      <c r="R1" s="4"/>
    </row>
    <row r="2" spans="2:18" x14ac:dyDescent="0.2">
      <c r="B2" s="74" t="s">
        <v>137</v>
      </c>
    </row>
    <row r="3" spans="2:18" s="3" customFormat="1" ht="6" customHeight="1" x14ac:dyDescent="0.2">
      <c r="B3" s="4"/>
      <c r="C3" s="4"/>
      <c r="D3" s="4"/>
      <c r="E3" s="4"/>
      <c r="F3" s="4"/>
      <c r="G3" s="4"/>
      <c r="H3" s="4"/>
      <c r="I3" s="4"/>
      <c r="J3" s="4"/>
      <c r="M3" s="4"/>
      <c r="N3" s="4"/>
      <c r="O3" s="4"/>
      <c r="P3" s="4"/>
      <c r="Q3" s="4"/>
      <c r="R3" s="4"/>
    </row>
    <row r="4" spans="2:18" x14ac:dyDescent="0.2">
      <c r="B4" s="72" t="s">
        <v>112</v>
      </c>
      <c r="C4" s="73"/>
      <c r="G4" s="74" t="s">
        <v>122</v>
      </c>
      <c r="H4" s="74" t="s">
        <v>123</v>
      </c>
      <c r="I4" s="74" t="s">
        <v>124</v>
      </c>
      <c r="J4" s="74" t="s">
        <v>125</v>
      </c>
      <c r="K4" s="74" t="s">
        <v>126</v>
      </c>
      <c r="L4" s="74" t="s">
        <v>64</v>
      </c>
      <c r="M4" s="74" t="s">
        <v>127</v>
      </c>
      <c r="N4" s="74" t="s">
        <v>128</v>
      </c>
      <c r="O4" s="74" t="s">
        <v>129</v>
      </c>
      <c r="P4" s="74" t="s">
        <v>130</v>
      </c>
    </row>
    <row r="5" spans="2:18" x14ac:dyDescent="0.2">
      <c r="B5" s="75"/>
      <c r="C5" s="75"/>
      <c r="F5" s="80" t="s">
        <v>131</v>
      </c>
      <c r="G5" s="118">
        <f>'Valuation Model'!E82</f>
        <v>1061.9121296867409</v>
      </c>
      <c r="H5" s="118">
        <f>'Valuation Model'!G80</f>
        <v>1080.0684037814024</v>
      </c>
      <c r="I5" s="69">
        <f t="shared" ref="I5:I9" si="0">H5-G5</f>
        <v>18.156274094661512</v>
      </c>
      <c r="J5" s="119">
        <f>IF(ROW()=ROW($G$5),0.5,J4+1)</f>
        <v>0.5</v>
      </c>
      <c r="K5" s="69">
        <f>IF($B$7,AVERAGE($G$5:$G$9,$H$5:$H$9),NA())</f>
        <v>1223.7823014633291</v>
      </c>
      <c r="L5" s="69">
        <f>IF($B$8,MEDIAN($G$5,$H$5),NA())</f>
        <v>1070.9902667340716</v>
      </c>
      <c r="M5" s="69" t="e">
        <f>IF($B$9,$C$12,NA())</f>
        <v>#N/A</v>
      </c>
    </row>
    <row r="6" spans="2:18" ht="15" x14ac:dyDescent="0.2">
      <c r="B6" s="76" t="s">
        <v>113</v>
      </c>
      <c r="C6" s="75"/>
      <c r="E6" s="74" t="s">
        <v>132</v>
      </c>
      <c r="F6" s="81" t="str">
        <f>F8</f>
        <v>EV/ NTM EBITDA</v>
      </c>
      <c r="G6" s="69">
        <f>K12</f>
        <v>858.93523759378706</v>
      </c>
      <c r="H6" s="69">
        <f>L12</f>
        <v>1521.7656250000002</v>
      </c>
      <c r="I6" s="69">
        <f t="shared" si="0"/>
        <v>662.83038740621316</v>
      </c>
      <c r="J6" s="119">
        <f>IF(ROW()=ROW($G$5),0.5,J5+1)</f>
        <v>1.5</v>
      </c>
      <c r="K6" s="69">
        <f>K5</f>
        <v>1223.7823014633291</v>
      </c>
      <c r="L6" s="69">
        <f>IF($B$8,MEDIAN($G$5,$H$5),NA())</f>
        <v>1070.9902667340716</v>
      </c>
      <c r="M6" s="69" t="e">
        <f>IF($B$9,$C$12,NA())</f>
        <v>#N/A</v>
      </c>
      <c r="N6" s="74" t="str">
        <f>IF($C$7,TEXT($K$5,$C$15),"")</f>
        <v>Average $1223.78</v>
      </c>
      <c r="O6" s="74" t="str">
        <f>IF($C$7,TEXT($L$5,$C$16),"")</f>
        <v>Median $1070.99</v>
      </c>
      <c r="P6" s="74" t="e">
        <f>IF($C$7,TEXT($M$5,$C$17),"")</f>
        <v>#N/A</v>
      </c>
    </row>
    <row r="7" spans="2:18" ht="15" x14ac:dyDescent="0.2">
      <c r="B7" s="77" t="b">
        <v>1</v>
      </c>
      <c r="C7" s="77" t="b">
        <v>1</v>
      </c>
      <c r="E7" s="74" t="s">
        <v>132</v>
      </c>
      <c r="F7" s="81" t="str">
        <f>F9</f>
        <v>EV / NTM REV</v>
      </c>
      <c r="G7" s="69">
        <f>K13</f>
        <v>838.14105316116047</v>
      </c>
      <c r="H7" s="69">
        <f>L13</f>
        <v>1088.5955654101997</v>
      </c>
      <c r="I7" s="69">
        <f t="shared" si="0"/>
        <v>250.45451224903923</v>
      </c>
      <c r="J7" s="119">
        <f>IF(ROW()=ROW($G$5),0.5,J6+1)</f>
        <v>2.5</v>
      </c>
      <c r="K7" s="69">
        <f>K6</f>
        <v>1223.7823014633291</v>
      </c>
      <c r="L7" s="69">
        <f>IF($B$8,MEDIAN($G$5,$H$5),NA())</f>
        <v>1070.9902667340716</v>
      </c>
      <c r="M7" s="69" t="e">
        <f>IF($B$9,$C$12,NA())</f>
        <v>#N/A</v>
      </c>
    </row>
    <row r="8" spans="2:18" ht="15" x14ac:dyDescent="0.2">
      <c r="B8" s="77" t="b">
        <v>1</v>
      </c>
      <c r="C8" s="75"/>
      <c r="E8" s="74" t="s">
        <v>133</v>
      </c>
      <c r="F8" s="81" t="str">
        <f>F12</f>
        <v>EV/ NTM EBITDA</v>
      </c>
      <c r="G8" s="69">
        <f>K14</f>
        <v>1516.5000000000002</v>
      </c>
      <c r="H8" s="69">
        <f>L14</f>
        <v>1743.9750000000001</v>
      </c>
      <c r="I8" s="69">
        <f t="shared" si="0"/>
        <v>227.47499999999991</v>
      </c>
      <c r="J8" s="119">
        <f>IF(ROW()=ROW($G$5),0.5,J7+1)</f>
        <v>3.5</v>
      </c>
      <c r="K8" s="69">
        <f>K7</f>
        <v>1223.7823014633291</v>
      </c>
      <c r="L8" s="69">
        <f>IF($B$8,MEDIAN($G$5,$H$5),NA())</f>
        <v>1070.9902667340716</v>
      </c>
      <c r="M8" s="69" t="e">
        <f>IF($B$9,$C$12,NA())</f>
        <v>#N/A</v>
      </c>
    </row>
    <row r="9" spans="2:18" ht="15" x14ac:dyDescent="0.2">
      <c r="B9" s="77" t="b">
        <v>0</v>
      </c>
      <c r="C9" s="75"/>
      <c r="E9" s="74" t="s">
        <v>133</v>
      </c>
      <c r="F9" s="81" t="str">
        <f>F13</f>
        <v>EV / NTM REV</v>
      </c>
      <c r="G9" s="69">
        <f>K15</f>
        <v>1148.3699999999999</v>
      </c>
      <c r="H9" s="69">
        <f>L15</f>
        <v>1379.56</v>
      </c>
      <c r="I9" s="69">
        <f t="shared" si="0"/>
        <v>231.19000000000005</v>
      </c>
      <c r="J9" s="119">
        <f>IF(ROW()=ROW($G$5),0.5,J8+1)</f>
        <v>4.5</v>
      </c>
      <c r="K9" s="69">
        <f>K8</f>
        <v>1223.7823014633291</v>
      </c>
      <c r="L9" s="69">
        <f>IF($B$8,MEDIAN($G$5,$H$5),NA())</f>
        <v>1070.9902667340716</v>
      </c>
      <c r="M9" s="69" t="e">
        <f>IF($B$9,$C$12,NA())</f>
        <v>#N/A</v>
      </c>
    </row>
    <row r="10" spans="2:18" s="3" customFormat="1" ht="6" customHeight="1" x14ac:dyDescent="0.2">
      <c r="B10" s="4"/>
      <c r="C10" s="4"/>
      <c r="D10" s="4"/>
      <c r="E10" s="4"/>
      <c r="F10" s="4"/>
      <c r="G10" s="4"/>
      <c r="H10" s="4"/>
      <c r="I10" s="4"/>
      <c r="J10" s="4"/>
      <c r="M10" s="4"/>
      <c r="N10" s="4"/>
      <c r="O10" s="4"/>
      <c r="P10" s="4"/>
      <c r="Q10" s="4"/>
      <c r="R10" s="4"/>
    </row>
    <row r="11" spans="2:18" ht="15" x14ac:dyDescent="0.2">
      <c r="B11" s="75"/>
      <c r="C11" s="75"/>
      <c r="G11" s="81" t="s">
        <v>122</v>
      </c>
      <c r="H11" s="81" t="s">
        <v>123</v>
      </c>
      <c r="I11" s="120" t="s">
        <v>141</v>
      </c>
      <c r="J11" s="81" t="s">
        <v>72</v>
      </c>
      <c r="K11" s="81" t="s">
        <v>122</v>
      </c>
      <c r="L11" s="81" t="s">
        <v>123</v>
      </c>
    </row>
    <row r="12" spans="2:18" ht="15" x14ac:dyDescent="0.2">
      <c r="B12" s="75" t="s">
        <v>114</v>
      </c>
      <c r="C12" s="78">
        <v>0</v>
      </c>
      <c r="E12" s="74" t="s">
        <v>134</v>
      </c>
      <c r="F12" s="81" t="str">
        <f>F17</f>
        <v>EV/ NTM EBITDA</v>
      </c>
      <c r="G12" s="82">
        <f>Comps!K20*(1-Comps!D22)</f>
        <v>25.487692510201395</v>
      </c>
      <c r="H12" s="82">
        <f>Comps!K21*(1-Comps!D22)</f>
        <v>45.15625</v>
      </c>
      <c r="I12" s="84">
        <f>MEDIAN(G12:H12)</f>
        <v>35.321971255100699</v>
      </c>
      <c r="J12" s="69">
        <f>Comps!G14</f>
        <v>33.700000000000003</v>
      </c>
      <c r="K12" s="83">
        <f>G12*$J12</f>
        <v>858.93523759378706</v>
      </c>
      <c r="L12" s="83">
        <f>H12*$J12</f>
        <v>1521.7656250000002</v>
      </c>
    </row>
    <row r="13" spans="2:18" ht="15" x14ac:dyDescent="0.2">
      <c r="B13" s="75"/>
      <c r="C13" s="75"/>
      <c r="F13" s="81" t="str">
        <f>F18</f>
        <v>EV / NTM REV</v>
      </c>
      <c r="G13" s="82">
        <f>Comps!J20*(1-Comps!D22)</f>
        <v>5.528634915311085</v>
      </c>
      <c r="H13" s="82">
        <f>Comps!J21*(1-Comps!D22)</f>
        <v>7.1807095343680718</v>
      </c>
      <c r="I13" s="84">
        <f>MEDIAN(G13:H13)</f>
        <v>6.3546722248395788</v>
      </c>
      <c r="J13" s="69">
        <f>Comps!E14</f>
        <v>151.6</v>
      </c>
      <c r="K13" s="83">
        <f>G13*$J13</f>
        <v>838.14105316116047</v>
      </c>
      <c r="L13" s="83">
        <f>H13*$J13</f>
        <v>1088.5955654101997</v>
      </c>
    </row>
    <row r="14" spans="2:18" ht="15" x14ac:dyDescent="0.2">
      <c r="B14" s="76" t="s">
        <v>115</v>
      </c>
      <c r="C14" s="75"/>
      <c r="E14" s="74" t="s">
        <v>135</v>
      </c>
      <c r="F14" s="81" t="str">
        <f>F12</f>
        <v>EV/ NTM EBITDA</v>
      </c>
      <c r="G14" s="84">
        <f>Comps!R20</f>
        <v>45</v>
      </c>
      <c r="H14" s="84">
        <f>Comps!R21</f>
        <v>51.75</v>
      </c>
      <c r="I14" s="84">
        <f>MEDIAN(G14:H14)</f>
        <v>48.375</v>
      </c>
      <c r="J14" s="69">
        <f>J12</f>
        <v>33.700000000000003</v>
      </c>
      <c r="K14" s="83">
        <f>G14*$J14</f>
        <v>1516.5000000000002</v>
      </c>
      <c r="L14" s="83">
        <f>H14*$J14</f>
        <v>1743.9750000000001</v>
      </c>
    </row>
    <row r="15" spans="2:18" ht="15" x14ac:dyDescent="0.2">
      <c r="B15" s="75" t="s">
        <v>116</v>
      </c>
      <c r="C15" s="78" t="s">
        <v>117</v>
      </c>
      <c r="F15" s="81" t="str">
        <f>F18</f>
        <v>EV / NTM REV</v>
      </c>
      <c r="G15" s="84">
        <f>Comps!Q20</f>
        <v>7.5750000000000002</v>
      </c>
      <c r="H15" s="84">
        <f>Comps!Q21</f>
        <v>9.1</v>
      </c>
      <c r="I15" s="84">
        <f>MEDIAN(G15:H15)</f>
        <v>8.3375000000000004</v>
      </c>
      <c r="J15" s="69">
        <f>J13</f>
        <v>151.6</v>
      </c>
      <c r="K15" s="83">
        <f>G15*$J15</f>
        <v>1148.3699999999999</v>
      </c>
      <c r="L15" s="83">
        <f>H15*$J15</f>
        <v>1379.56</v>
      </c>
    </row>
    <row r="16" spans="2:18" ht="15" x14ac:dyDescent="0.2">
      <c r="B16" s="75" t="s">
        <v>118</v>
      </c>
      <c r="C16" s="78" t="s">
        <v>119</v>
      </c>
      <c r="G16" s="81" t="s">
        <v>122</v>
      </c>
      <c r="H16" s="81" t="s">
        <v>123</v>
      </c>
      <c r="I16" s="120" t="s">
        <v>141</v>
      </c>
      <c r="J16" s="81" t="s">
        <v>72</v>
      </c>
      <c r="K16" s="81" t="s">
        <v>122</v>
      </c>
      <c r="L16" s="81" t="s">
        <v>123</v>
      </c>
    </row>
    <row r="17" spans="2:12" x14ac:dyDescent="0.2">
      <c r="B17" s="75" t="s">
        <v>120</v>
      </c>
      <c r="C17" s="78" t="s">
        <v>121</v>
      </c>
      <c r="E17" s="74" t="s">
        <v>140</v>
      </c>
      <c r="F17" s="120" t="s">
        <v>142</v>
      </c>
      <c r="G17" s="84">
        <f>K17/J17</f>
        <v>26.706231454005934</v>
      </c>
      <c r="H17" s="84">
        <f>L17/J17</f>
        <v>29.673590504451035</v>
      </c>
      <c r="I17" s="84">
        <f>MEDIAN(G17:H17)</f>
        <v>28.189910979228486</v>
      </c>
      <c r="J17" s="69">
        <f>J12</f>
        <v>33.700000000000003</v>
      </c>
      <c r="K17" s="74">
        <v>900</v>
      </c>
      <c r="L17" s="74">
        <v>1000</v>
      </c>
    </row>
    <row r="18" spans="2:12" x14ac:dyDescent="0.2">
      <c r="B18" s="79"/>
      <c r="C18" s="79"/>
      <c r="F18" s="120" t="s">
        <v>143</v>
      </c>
      <c r="G18" s="84">
        <f>K18/J18</f>
        <v>5.9366754617414248</v>
      </c>
      <c r="H18" s="84">
        <f>L18/J18</f>
        <v>6.5963060686015833</v>
      </c>
      <c r="I18" s="84">
        <f>MEDIAN(G18:H18)</f>
        <v>6.2664907651715041</v>
      </c>
      <c r="J18" s="69">
        <f>J13</f>
        <v>151.6</v>
      </c>
      <c r="K18" s="74">
        <f>K17</f>
        <v>900</v>
      </c>
      <c r="L18" s="74">
        <f>L17</f>
        <v>1000</v>
      </c>
    </row>
  </sheetData>
  <dataValidations count="2">
    <dataValidation allowBlank="1" showInputMessage="1" prompt="Enter a value to be plotted on this chart similar to an average or median line (e.g., current stock price, target price)." sqref="C12" xr:uid="{7B35F3F9-6A03-9C4E-857B-19B489FF1CA5}"/>
    <dataValidation allowBlank="1" showInputMessage="1" prompt="Enter the number format used to display this item in chart labels.  Use a leading apostrophe if necessary to treat the contents of this cell as text." sqref="C15:C17" xr:uid="{30F4380D-BF0C-D14C-9AF0-253A5A7E1D9A}"/>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7" r:id="rId3" name="Check Box 1">
              <controlPr defaultSize="0" autoFill="0" autoLine="0" autoPict="0">
                <anchor moveWithCells="1">
                  <from>
                    <xdr:col>1</xdr:col>
                    <xdr:colOff>0</xdr:colOff>
                    <xdr:row>6</xdr:row>
                    <xdr:rowOff>0</xdr:rowOff>
                  </from>
                  <to>
                    <xdr:col>2</xdr:col>
                    <xdr:colOff>12700</xdr:colOff>
                    <xdr:row>7</xdr:row>
                    <xdr:rowOff>12700</xdr:rowOff>
                  </to>
                </anchor>
              </controlPr>
            </control>
          </mc:Choice>
        </mc:AlternateContent>
        <mc:AlternateContent xmlns:mc="http://schemas.openxmlformats.org/markup-compatibility/2006">
          <mc:Choice Requires="x14">
            <control shapeId="4098" r:id="rId4" name="Check Box 2">
              <controlPr defaultSize="0" autoFill="0" autoLine="0" autoPict="0">
                <anchor moveWithCells="1">
                  <from>
                    <xdr:col>1</xdr:col>
                    <xdr:colOff>0</xdr:colOff>
                    <xdr:row>7</xdr:row>
                    <xdr:rowOff>0</xdr:rowOff>
                  </from>
                  <to>
                    <xdr:col>2</xdr:col>
                    <xdr:colOff>12700</xdr:colOff>
                    <xdr:row>8</xdr:row>
                    <xdr:rowOff>12700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1</xdr:col>
                    <xdr:colOff>0</xdr:colOff>
                    <xdr:row>8</xdr:row>
                    <xdr:rowOff>0</xdr:rowOff>
                  </from>
                  <to>
                    <xdr:col>2</xdr:col>
                    <xdr:colOff>12700</xdr:colOff>
                    <xdr:row>9</xdr:row>
                    <xdr:rowOff>12700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2</xdr:col>
                    <xdr:colOff>0</xdr:colOff>
                    <xdr:row>6</xdr:row>
                    <xdr:rowOff>0</xdr:rowOff>
                  </from>
                  <to>
                    <xdr:col>4</xdr:col>
                    <xdr:colOff>355600</xdr:colOff>
                    <xdr:row>7</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F0CC-74AF-BC44-85CD-44E8BCFDD252}">
  <dimension ref="A2:E10"/>
  <sheetViews>
    <sheetView showGridLines="0" zoomScale="114" workbookViewId="0"/>
  </sheetViews>
  <sheetFormatPr baseColWidth="10" defaultRowHeight="14" x14ac:dyDescent="0.2"/>
  <cols>
    <col min="1" max="1" width="2.5" style="6" bestFit="1" customWidth="1"/>
    <col min="2" max="2" width="32" style="6" bestFit="1" customWidth="1"/>
    <col min="3" max="3" width="75.33203125" style="6" customWidth="1"/>
    <col min="4" max="4" width="45.1640625" style="6" customWidth="1"/>
    <col min="5" max="5" width="14.5" style="6" bestFit="1" customWidth="1"/>
    <col min="6" max="16384" width="10.83203125" style="6"/>
  </cols>
  <sheetData>
    <row r="2" spans="1:5" ht="13" x14ac:dyDescent="0.2">
      <c r="B2" s="13" t="s">
        <v>161</v>
      </c>
    </row>
    <row r="3" spans="1:5" ht="6" customHeight="1" x14ac:dyDescent="0.2">
      <c r="B3" s="13"/>
    </row>
    <row r="4" spans="1:5" x14ac:dyDescent="0.2">
      <c r="B4" s="131" t="s">
        <v>168</v>
      </c>
      <c r="C4" s="131" t="s">
        <v>169</v>
      </c>
      <c r="D4" s="131" t="s">
        <v>170</v>
      </c>
      <c r="E4" s="131" t="s">
        <v>171</v>
      </c>
    </row>
    <row r="5" spans="1:5" ht="30" x14ac:dyDescent="0.2">
      <c r="A5" s="2" t="s">
        <v>162</v>
      </c>
      <c r="B5" s="1" t="s">
        <v>172</v>
      </c>
      <c r="C5" s="132" t="s">
        <v>190</v>
      </c>
      <c r="D5" s="132" t="s">
        <v>185</v>
      </c>
      <c r="E5" s="17" t="s">
        <v>179</v>
      </c>
    </row>
    <row r="6" spans="1:5" ht="30" x14ac:dyDescent="0.2">
      <c r="A6" s="2" t="s">
        <v>163</v>
      </c>
      <c r="B6" s="1" t="s">
        <v>173</v>
      </c>
      <c r="C6" s="132" t="s">
        <v>191</v>
      </c>
      <c r="D6" s="132" t="s">
        <v>186</v>
      </c>
      <c r="E6" s="17" t="s">
        <v>180</v>
      </c>
    </row>
    <row r="7" spans="1:5" ht="30" x14ac:dyDescent="0.2">
      <c r="A7" s="2" t="s">
        <v>164</v>
      </c>
      <c r="B7" s="1" t="s">
        <v>174</v>
      </c>
      <c r="C7" s="132" t="s">
        <v>192</v>
      </c>
      <c r="D7" s="132" t="s">
        <v>187</v>
      </c>
      <c r="E7" s="17" t="s">
        <v>181</v>
      </c>
    </row>
    <row r="8" spans="1:5" ht="30" x14ac:dyDescent="0.2">
      <c r="A8" s="2" t="s">
        <v>165</v>
      </c>
      <c r="B8" s="1" t="s">
        <v>175</v>
      </c>
      <c r="C8" s="132" t="s">
        <v>193</v>
      </c>
      <c r="D8" s="132" t="s">
        <v>188</v>
      </c>
      <c r="E8" s="17" t="s">
        <v>182</v>
      </c>
    </row>
    <row r="9" spans="1:5" ht="30" x14ac:dyDescent="0.2">
      <c r="A9" s="2" t="s">
        <v>166</v>
      </c>
      <c r="B9" s="1" t="s">
        <v>176</v>
      </c>
      <c r="C9" s="132" t="s">
        <v>194</v>
      </c>
      <c r="D9" s="132" t="s">
        <v>178</v>
      </c>
      <c r="E9" s="17" t="s">
        <v>184</v>
      </c>
    </row>
    <row r="10" spans="1:5" ht="30" x14ac:dyDescent="0.2">
      <c r="A10" s="2" t="s">
        <v>167</v>
      </c>
      <c r="B10" s="1" t="s">
        <v>177</v>
      </c>
      <c r="C10" s="132" t="s">
        <v>195</v>
      </c>
      <c r="D10" s="132" t="s">
        <v>189</v>
      </c>
      <c r="E10" s="17"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Valuation Model</vt:lpstr>
      <vt:lpstr>Comps</vt:lpstr>
      <vt:lpstr>EV Football Field</vt:lpstr>
      <vt:lpstr>Deal Process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Rajesh, Rohan</dc:creator>
  <cp:lastModifiedBy>Rajesh, Rohan</cp:lastModifiedBy>
  <dcterms:created xsi:type="dcterms:W3CDTF">2026-04-04T20:51:32Z</dcterms:created>
  <dcterms:modified xsi:type="dcterms:W3CDTF">2026-04-07T01:00:42Z</dcterms:modified>
</cp:coreProperties>
</file>